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720" yWindow="330" windowWidth="20730" windowHeight="9750"/>
  </bookViews>
  <sheets>
    <sheet name="Список" sheetId="1" r:id="rId1"/>
    <sheet name="Свод" sheetId="2" r:id="rId2"/>
  </sheets>
  <calcPr calcId="124519"/>
</workbook>
</file>

<file path=xl/calcChain.xml><?xml version="1.0" encoding="utf-8"?>
<calcChain xmlns="http://schemas.openxmlformats.org/spreadsheetml/2006/main">
  <c r="A4" i="2"/>
  <c r="CJ660" i="1"/>
  <c r="CI660"/>
  <c r="CH660"/>
  <c r="CG660"/>
  <c r="CF660"/>
  <c r="CE660"/>
  <c r="CD660"/>
  <c r="CC660"/>
  <c r="CB660"/>
  <c r="CA660"/>
  <c r="BZ660"/>
  <c r="BY660"/>
  <c r="BX660"/>
  <c r="BW660"/>
  <c r="BV660"/>
  <c r="BU660"/>
  <c r="BT660"/>
  <c r="BS660"/>
  <c r="BR660"/>
  <c r="BQ660"/>
  <c r="BP660"/>
  <c r="BO660"/>
  <c r="BN660"/>
  <c r="BM660"/>
  <c r="BL660"/>
  <c r="BK660"/>
  <c r="BJ660"/>
  <c r="BI660"/>
  <c r="BH660"/>
  <c r="BG660"/>
  <c r="BF660"/>
  <c r="BE660"/>
  <c r="BD660"/>
  <c r="BC660"/>
  <c r="BB660"/>
  <c r="BA660"/>
  <c r="AZ660"/>
  <c r="AY660"/>
  <c r="AX660"/>
  <c r="AW660"/>
  <c r="AV660"/>
  <c r="AU660"/>
  <c r="AT660"/>
  <c r="AS660"/>
  <c r="AR660"/>
  <c r="AQ660"/>
  <c r="AP660"/>
  <c r="AO660"/>
  <c r="AN660"/>
  <c r="AM660"/>
  <c r="AL660"/>
  <c r="AK660"/>
  <c r="AJ660"/>
  <c r="AI660"/>
  <c r="AH660"/>
  <c r="AG660"/>
  <c r="AF660"/>
  <c r="AE660"/>
  <c r="AD660"/>
  <c r="AC660"/>
  <c r="AB660"/>
  <c r="AA660"/>
  <c r="Z660"/>
  <c r="Y660"/>
  <c r="X660"/>
  <c r="W660"/>
  <c r="V660"/>
  <c r="U660"/>
  <c r="T660"/>
  <c r="S660"/>
  <c r="R660"/>
  <c r="Q660"/>
  <c r="P660"/>
  <c r="O660"/>
  <c r="N660"/>
  <c r="M660"/>
  <c r="L660"/>
  <c r="K660"/>
  <c r="J660"/>
  <c r="I660"/>
  <c r="H660"/>
  <c r="G660"/>
  <c r="F660"/>
  <c r="E660"/>
  <c r="D660"/>
  <c r="C660"/>
  <c r="B660"/>
  <c r="A660"/>
  <c r="CJ659"/>
  <c r="CI659"/>
  <c r="CH659"/>
  <c r="CG659"/>
  <c r="CF659"/>
  <c r="CE659"/>
  <c r="CD659"/>
  <c r="CC659"/>
  <c r="CB659"/>
  <c r="CA659"/>
  <c r="BZ659"/>
  <c r="BY659"/>
  <c r="BX659"/>
  <c r="BW659"/>
  <c r="BV659"/>
  <c r="BU659"/>
  <c r="BT659"/>
  <c r="BS659"/>
  <c r="BR659"/>
  <c r="BQ659"/>
  <c r="BP659"/>
  <c r="BO659"/>
  <c r="BN659"/>
  <c r="BM659"/>
  <c r="BL659"/>
  <c r="BK659"/>
  <c r="BJ659"/>
  <c r="BI659"/>
  <c r="BH659"/>
  <c r="BG659"/>
  <c r="BF659"/>
  <c r="BE659"/>
  <c r="BD659"/>
  <c r="BC659"/>
  <c r="BB659"/>
  <c r="BA659"/>
  <c r="AZ659"/>
  <c r="AY659"/>
  <c r="AX659"/>
  <c r="AW659"/>
  <c r="AV659"/>
  <c r="AU659"/>
  <c r="AT659"/>
  <c r="AS659"/>
  <c r="AR659"/>
  <c r="AQ659"/>
  <c r="AP659"/>
  <c r="AO659"/>
  <c r="AN659"/>
  <c r="AM659"/>
  <c r="AL659"/>
  <c r="AK659"/>
  <c r="AJ659"/>
  <c r="AI659"/>
  <c r="AH659"/>
  <c r="AG659"/>
  <c r="AF659"/>
  <c r="AE659"/>
  <c r="AD659"/>
  <c r="AC659"/>
  <c r="AB659"/>
  <c r="AA659"/>
  <c r="Z659"/>
  <c r="Y659"/>
  <c r="X659"/>
  <c r="W659"/>
  <c r="V659"/>
  <c r="U659"/>
  <c r="T659"/>
  <c r="S659"/>
  <c r="R659"/>
  <c r="Q659"/>
  <c r="P659"/>
  <c r="O659"/>
  <c r="N659"/>
  <c r="M659"/>
  <c r="L659"/>
  <c r="K659"/>
  <c r="J659"/>
  <c r="I659"/>
  <c r="H659"/>
  <c r="G659"/>
  <c r="F659"/>
  <c r="E659"/>
  <c r="D659"/>
  <c r="C659"/>
  <c r="B659"/>
  <c r="A659"/>
  <c r="CJ658"/>
  <c r="CI658"/>
  <c r="CH658"/>
  <c r="CG658"/>
  <c r="CF658"/>
  <c r="CE658"/>
  <c r="CD658"/>
  <c r="CC658"/>
  <c r="CB658"/>
  <c r="CA658"/>
  <c r="BZ658"/>
  <c r="BY658"/>
  <c r="BX658"/>
  <c r="BW658"/>
  <c r="BV658"/>
  <c r="BU658"/>
  <c r="BT658"/>
  <c r="BS658"/>
  <c r="BR658"/>
  <c r="BQ658"/>
  <c r="BP658"/>
  <c r="BO658"/>
  <c r="BN658"/>
  <c r="BM658"/>
  <c r="BL658"/>
  <c r="BK658"/>
  <c r="BJ658"/>
  <c r="BI658"/>
  <c r="BH658"/>
  <c r="BG658"/>
  <c r="BF658"/>
  <c r="BE658"/>
  <c r="BD658"/>
  <c r="BC658"/>
  <c r="BB658"/>
  <c r="BA658"/>
  <c r="AZ658"/>
  <c r="AY658"/>
  <c r="AX658"/>
  <c r="AW658"/>
  <c r="AV658"/>
  <c r="AU658"/>
  <c r="AT658"/>
  <c r="AS658"/>
  <c r="AR658"/>
  <c r="AQ658"/>
  <c r="AP658"/>
  <c r="AO658"/>
  <c r="AN658"/>
  <c r="AM658"/>
  <c r="AL658"/>
  <c r="AK658"/>
  <c r="AJ658"/>
  <c r="AI658"/>
  <c r="AH658"/>
  <c r="AG658"/>
  <c r="AF658"/>
  <c r="AE658"/>
  <c r="AD658"/>
  <c r="AC658"/>
  <c r="AB658"/>
  <c r="AA658"/>
  <c r="Z658"/>
  <c r="Y658"/>
  <c r="X658"/>
  <c r="W658"/>
  <c r="V658"/>
  <c r="U658"/>
  <c r="T658"/>
  <c r="S658"/>
  <c r="R658"/>
  <c r="Q658"/>
  <c r="P658"/>
  <c r="O658"/>
  <c r="N658"/>
  <c r="M658"/>
  <c r="L658"/>
  <c r="K658"/>
  <c r="J658"/>
  <c r="I658"/>
  <c r="H658"/>
  <c r="G658"/>
  <c r="F658"/>
  <c r="E658"/>
  <c r="D658"/>
  <c r="C658"/>
  <c r="B658"/>
  <c r="A658"/>
  <c r="CJ657"/>
  <c r="CI657"/>
  <c r="CH657"/>
  <c r="CG657"/>
  <c r="CF657"/>
  <c r="CE657"/>
  <c r="CD657"/>
  <c r="CC657"/>
  <c r="CB657"/>
  <c r="CA657"/>
  <c r="BZ657"/>
  <c r="BY657"/>
  <c r="BX657"/>
  <c r="BW657"/>
  <c r="BV657"/>
  <c r="BU657"/>
  <c r="BT657"/>
  <c r="BS657"/>
  <c r="BR657"/>
  <c r="BQ657"/>
  <c r="BP657"/>
  <c r="BO657"/>
  <c r="BN657"/>
  <c r="BM657"/>
  <c r="BL657"/>
  <c r="BK657"/>
  <c r="BJ657"/>
  <c r="BI657"/>
  <c r="BH657"/>
  <c r="BG657"/>
  <c r="BF657"/>
  <c r="BE657"/>
  <c r="BD657"/>
  <c r="BC657"/>
  <c r="BB657"/>
  <c r="BA657"/>
  <c r="AZ657"/>
  <c r="AY657"/>
  <c r="AX657"/>
  <c r="AW657"/>
  <c r="AV657"/>
  <c r="AU657"/>
  <c r="AT657"/>
  <c r="AS657"/>
  <c r="AR657"/>
  <c r="AQ657"/>
  <c r="AP657"/>
  <c r="AO657"/>
  <c r="AN657"/>
  <c r="AM657"/>
  <c r="AL657"/>
  <c r="AK657"/>
  <c r="AJ657"/>
  <c r="AI657"/>
  <c r="AH657"/>
  <c r="AG657"/>
  <c r="AF657"/>
  <c r="AE657"/>
  <c r="AD657"/>
  <c r="AC657"/>
  <c r="AB657"/>
  <c r="AA657"/>
  <c r="Z657"/>
  <c r="Y657"/>
  <c r="X657"/>
  <c r="W657"/>
  <c r="V657"/>
  <c r="U657"/>
  <c r="T657"/>
  <c r="S657"/>
  <c r="R657"/>
  <c r="Q657"/>
  <c r="P657"/>
  <c r="O657"/>
  <c r="N657"/>
  <c r="M657"/>
  <c r="L657"/>
  <c r="K657"/>
  <c r="J657"/>
  <c r="I657"/>
  <c r="H657"/>
  <c r="G657"/>
  <c r="F657"/>
  <c r="E657"/>
  <c r="D657"/>
  <c r="C657"/>
  <c r="B657"/>
  <c r="A657"/>
  <c r="CJ656"/>
  <c r="CI656"/>
  <c r="CH656"/>
  <c r="CG656"/>
  <c r="CF656"/>
  <c r="CE656"/>
  <c r="CD656"/>
  <c r="CC656"/>
  <c r="CB656"/>
  <c r="CA656"/>
  <c r="BZ656"/>
  <c r="BY656"/>
  <c r="BX656"/>
  <c r="BW656"/>
  <c r="BV656"/>
  <c r="BU656"/>
  <c r="BT656"/>
  <c r="BS656"/>
  <c r="BR656"/>
  <c r="BQ656"/>
  <c r="BP656"/>
  <c r="BO656"/>
  <c r="BN656"/>
  <c r="BM656"/>
  <c r="BL656"/>
  <c r="BK656"/>
  <c r="BJ656"/>
  <c r="BI656"/>
  <c r="BH656"/>
  <c r="BG656"/>
  <c r="BF656"/>
  <c r="BE656"/>
  <c r="BD656"/>
  <c r="BC656"/>
  <c r="BB656"/>
  <c r="BA656"/>
  <c r="AZ656"/>
  <c r="AY656"/>
  <c r="AX656"/>
  <c r="AW656"/>
  <c r="AV656"/>
  <c r="AU656"/>
  <c r="AT656"/>
  <c r="AS656"/>
  <c r="AR656"/>
  <c r="AQ656"/>
  <c r="AP656"/>
  <c r="AO656"/>
  <c r="AN656"/>
  <c r="AM656"/>
  <c r="AL656"/>
  <c r="AK656"/>
  <c r="AJ656"/>
  <c r="AI656"/>
  <c r="AH656"/>
  <c r="AG656"/>
  <c r="AF656"/>
  <c r="AE656"/>
  <c r="AD656"/>
  <c r="AC656"/>
  <c r="AB656"/>
  <c r="AA656"/>
  <c r="Z656"/>
  <c r="Y656"/>
  <c r="X656"/>
  <c r="W656"/>
  <c r="V656"/>
  <c r="U656"/>
  <c r="T656"/>
  <c r="S656"/>
  <c r="R656"/>
  <c r="Q656"/>
  <c r="P656"/>
  <c r="O656"/>
  <c r="N656"/>
  <c r="M656"/>
  <c r="L656"/>
  <c r="K656"/>
  <c r="J656"/>
  <c r="I656"/>
  <c r="H656"/>
  <c r="G656"/>
  <c r="F656"/>
  <c r="E656"/>
  <c r="D656"/>
  <c r="C656"/>
  <c r="B656"/>
  <c r="A656"/>
  <c r="CJ655"/>
  <c r="CI655"/>
  <c r="CH655"/>
  <c r="CG655"/>
  <c r="CF655"/>
  <c r="CE655"/>
  <c r="CD655"/>
  <c r="CC655"/>
  <c r="CB655"/>
  <c r="CA655"/>
  <c r="BZ655"/>
  <c r="BY655"/>
  <c r="BX655"/>
  <c r="BW655"/>
  <c r="BV655"/>
  <c r="BU655"/>
  <c r="BT655"/>
  <c r="BS655"/>
  <c r="BR655"/>
  <c r="BQ655"/>
  <c r="BP655"/>
  <c r="BO655"/>
  <c r="BN655"/>
  <c r="BM655"/>
  <c r="BL655"/>
  <c r="BK655"/>
  <c r="BJ655"/>
  <c r="BI655"/>
  <c r="BH655"/>
  <c r="BG655"/>
  <c r="BF655"/>
  <c r="BE655"/>
  <c r="BD655"/>
  <c r="BC655"/>
  <c r="BB655"/>
  <c r="BA655"/>
  <c r="AZ655"/>
  <c r="AY655"/>
  <c r="AX655"/>
  <c r="AW655"/>
  <c r="AV655"/>
  <c r="AU655"/>
  <c r="AT655"/>
  <c r="AS655"/>
  <c r="AR655"/>
  <c r="AQ655"/>
  <c r="AP655"/>
  <c r="AO655"/>
  <c r="AN655"/>
  <c r="AM655"/>
  <c r="AL655"/>
  <c r="AK655"/>
  <c r="AJ655"/>
  <c r="AI655"/>
  <c r="AH655"/>
  <c r="AG655"/>
  <c r="AF655"/>
  <c r="AE655"/>
  <c r="AD655"/>
  <c r="AC655"/>
  <c r="AB655"/>
  <c r="AA655"/>
  <c r="Z655"/>
  <c r="Y655"/>
  <c r="X655"/>
  <c r="W655"/>
  <c r="V655"/>
  <c r="U655"/>
  <c r="T655"/>
  <c r="S655"/>
  <c r="R655"/>
  <c r="Q655"/>
  <c r="P655"/>
  <c r="O655"/>
  <c r="N655"/>
  <c r="M655"/>
  <c r="L655"/>
  <c r="K655"/>
  <c r="J655"/>
  <c r="I655"/>
  <c r="H655"/>
  <c r="G655"/>
  <c r="F655"/>
  <c r="E655"/>
  <c r="D655"/>
  <c r="C655"/>
  <c r="B655"/>
  <c r="A655"/>
  <c r="CJ654"/>
  <c r="CI654"/>
  <c r="CH654"/>
  <c r="CG654"/>
  <c r="CF654"/>
  <c r="CE654"/>
  <c r="CD654"/>
  <c r="CC654"/>
  <c r="CB654"/>
  <c r="CA654"/>
  <c r="BZ654"/>
  <c r="BY654"/>
  <c r="BX654"/>
  <c r="BW654"/>
  <c r="BV654"/>
  <c r="BU654"/>
  <c r="BT654"/>
  <c r="BS654"/>
  <c r="BR654"/>
  <c r="BQ654"/>
  <c r="BP654"/>
  <c r="BO654"/>
  <c r="BN654"/>
  <c r="BM654"/>
  <c r="BL654"/>
  <c r="BK654"/>
  <c r="BJ654"/>
  <c r="BI654"/>
  <c r="BH654"/>
  <c r="BG654"/>
  <c r="BF654"/>
  <c r="BE654"/>
  <c r="BD654"/>
  <c r="BC654"/>
  <c r="BB654"/>
  <c r="BA654"/>
  <c r="AZ654"/>
  <c r="AY654"/>
  <c r="AX654"/>
  <c r="AW654"/>
  <c r="AV654"/>
  <c r="AU654"/>
  <c r="AT654"/>
  <c r="AS654"/>
  <c r="AR654"/>
  <c r="AQ654"/>
  <c r="AP654"/>
  <c r="AO654"/>
  <c r="AN654"/>
  <c r="AM654"/>
  <c r="AL654"/>
  <c r="AK654"/>
  <c r="AJ654"/>
  <c r="AI654"/>
  <c r="AH654"/>
  <c r="AG654"/>
  <c r="AF654"/>
  <c r="AE654"/>
  <c r="AD654"/>
  <c r="AC654"/>
  <c r="AB654"/>
  <c r="AA654"/>
  <c r="Z654"/>
  <c r="Y654"/>
  <c r="X654"/>
  <c r="W654"/>
  <c r="V654"/>
  <c r="U654"/>
  <c r="T654"/>
  <c r="S654"/>
  <c r="R654"/>
  <c r="Q654"/>
  <c r="P654"/>
  <c r="O654"/>
  <c r="N654"/>
  <c r="M654"/>
  <c r="L654"/>
  <c r="K654"/>
  <c r="J654"/>
  <c r="I654"/>
  <c r="H654"/>
  <c r="G654"/>
  <c r="F654"/>
  <c r="E654"/>
  <c r="D654"/>
  <c r="C654"/>
  <c r="B654"/>
  <c r="A654"/>
  <c r="CJ653"/>
  <c r="CI653"/>
  <c r="CH653"/>
  <c r="CG653"/>
  <c r="CF653"/>
  <c r="CE653"/>
  <c r="CD653"/>
  <c r="CC653"/>
  <c r="CB653"/>
  <c r="CA653"/>
  <c r="BZ653"/>
  <c r="BY653"/>
  <c r="BX653"/>
  <c r="BW653"/>
  <c r="BV653"/>
  <c r="BU653"/>
  <c r="BT653"/>
  <c r="BS653"/>
  <c r="BR653"/>
  <c r="BQ653"/>
  <c r="BP653"/>
  <c r="BO653"/>
  <c r="BN653"/>
  <c r="BM653"/>
  <c r="BL653"/>
  <c r="BK653"/>
  <c r="BJ653"/>
  <c r="BI653"/>
  <c r="BH653"/>
  <c r="BG653"/>
  <c r="BF653"/>
  <c r="BE653"/>
  <c r="BD653"/>
  <c r="BC653"/>
  <c r="BB653"/>
  <c r="BA653"/>
  <c r="AZ653"/>
  <c r="AY653"/>
  <c r="AX653"/>
  <c r="AW653"/>
  <c r="AV653"/>
  <c r="AU653"/>
  <c r="AT653"/>
  <c r="AS653"/>
  <c r="AR653"/>
  <c r="AQ653"/>
  <c r="AP653"/>
  <c r="AO653"/>
  <c r="AN653"/>
  <c r="AM653"/>
  <c r="AL653"/>
  <c r="AK653"/>
  <c r="AJ653"/>
  <c r="AI653"/>
  <c r="AH653"/>
  <c r="AG653"/>
  <c r="AF653"/>
  <c r="AE653"/>
  <c r="AD653"/>
  <c r="AC653"/>
  <c r="AB653"/>
  <c r="AA653"/>
  <c r="Z653"/>
  <c r="Y653"/>
  <c r="X653"/>
  <c r="W653"/>
  <c r="V653"/>
  <c r="U653"/>
  <c r="T653"/>
  <c r="S653"/>
  <c r="R653"/>
  <c r="Q653"/>
  <c r="P653"/>
  <c r="O653"/>
  <c r="N653"/>
  <c r="M653"/>
  <c r="L653"/>
  <c r="K653"/>
  <c r="J653"/>
  <c r="I653"/>
  <c r="H653"/>
  <c r="G653"/>
  <c r="F653"/>
  <c r="E653"/>
  <c r="D653"/>
  <c r="C653"/>
  <c r="B653"/>
  <c r="A653"/>
  <c r="CJ652"/>
  <c r="CI652"/>
  <c r="CH652"/>
  <c r="CG652"/>
  <c r="CF652"/>
  <c r="CE652"/>
  <c r="CD652"/>
  <c r="CC652"/>
  <c r="CB652"/>
  <c r="CA652"/>
  <c r="BZ652"/>
  <c r="BY652"/>
  <c r="BX652"/>
  <c r="BW652"/>
  <c r="BV652"/>
  <c r="BU652"/>
  <c r="BT652"/>
  <c r="BS652"/>
  <c r="BR652"/>
  <c r="BQ652"/>
  <c r="BP652"/>
  <c r="BO652"/>
  <c r="BN652"/>
  <c r="BM652"/>
  <c r="BL652"/>
  <c r="BK652"/>
  <c r="BJ652"/>
  <c r="BI652"/>
  <c r="BH652"/>
  <c r="BG652"/>
  <c r="BF652"/>
  <c r="BE652"/>
  <c r="BD652"/>
  <c r="BC652"/>
  <c r="BB652"/>
  <c r="BA652"/>
  <c r="AZ652"/>
  <c r="AY652"/>
  <c r="AX652"/>
  <c r="AW652"/>
  <c r="AV652"/>
  <c r="AU652"/>
  <c r="AT652"/>
  <c r="AS652"/>
  <c r="AR652"/>
  <c r="AQ652"/>
  <c r="AP652"/>
  <c r="AO652"/>
  <c r="AN652"/>
  <c r="AM652"/>
  <c r="AL652"/>
  <c r="AK652"/>
  <c r="AJ652"/>
  <c r="AI652"/>
  <c r="AH652"/>
  <c r="AG652"/>
  <c r="AF652"/>
  <c r="AE652"/>
  <c r="AD652"/>
  <c r="AC652"/>
  <c r="AB652"/>
  <c r="AA652"/>
  <c r="Z652"/>
  <c r="Y652"/>
  <c r="X652"/>
  <c r="W652"/>
  <c r="V652"/>
  <c r="U652"/>
  <c r="T652"/>
  <c r="S652"/>
  <c r="R652"/>
  <c r="Q652"/>
  <c r="P652"/>
  <c r="O652"/>
  <c r="N652"/>
  <c r="M652"/>
  <c r="L652"/>
  <c r="K652"/>
  <c r="J652"/>
  <c r="I652"/>
  <c r="H652"/>
  <c r="G652"/>
  <c r="F652"/>
  <c r="E652"/>
  <c r="D652"/>
  <c r="C652"/>
  <c r="B652"/>
  <c r="A652"/>
  <c r="CJ651"/>
  <c r="CI651"/>
  <c r="CH651"/>
  <c r="CG651"/>
  <c r="CF651"/>
  <c r="CE651"/>
  <c r="CD651"/>
  <c r="CC651"/>
  <c r="CB651"/>
  <c r="CA651"/>
  <c r="BZ651"/>
  <c r="BY651"/>
  <c r="BX651"/>
  <c r="BW651"/>
  <c r="BV651"/>
  <c r="BU651"/>
  <c r="BT651"/>
  <c r="BS651"/>
  <c r="BR651"/>
  <c r="BQ651"/>
  <c r="BP651"/>
  <c r="BO651"/>
  <c r="BN651"/>
  <c r="BM651"/>
  <c r="BL651"/>
  <c r="BK651"/>
  <c r="BJ651"/>
  <c r="BI651"/>
  <c r="BH651"/>
  <c r="BG651"/>
  <c r="BF651"/>
  <c r="BE651"/>
  <c r="BD651"/>
  <c r="BC651"/>
  <c r="BB651"/>
  <c r="BA651"/>
  <c r="AZ651"/>
  <c r="AY651"/>
  <c r="AX651"/>
  <c r="AW651"/>
  <c r="AV651"/>
  <c r="AU651"/>
  <c r="AT651"/>
  <c r="AS651"/>
  <c r="AR651"/>
  <c r="AQ651"/>
  <c r="AP651"/>
  <c r="AO651"/>
  <c r="AN651"/>
  <c r="AM651"/>
  <c r="AL651"/>
  <c r="AK651"/>
  <c r="AJ651"/>
  <c r="AI651"/>
  <c r="AH651"/>
  <c r="AG651"/>
  <c r="AF651"/>
  <c r="AE651"/>
  <c r="AD651"/>
  <c r="AC651"/>
  <c r="AB651"/>
  <c r="AA651"/>
  <c r="Z651"/>
  <c r="Y651"/>
  <c r="X651"/>
  <c r="W651"/>
  <c r="V651"/>
  <c r="U651"/>
  <c r="T651"/>
  <c r="S651"/>
  <c r="R651"/>
  <c r="Q651"/>
  <c r="P651"/>
  <c r="O651"/>
  <c r="N651"/>
  <c r="M651"/>
  <c r="L651"/>
  <c r="K651"/>
  <c r="J651"/>
  <c r="I651"/>
  <c r="H651"/>
  <c r="G651"/>
  <c r="F651"/>
  <c r="E651"/>
  <c r="D651"/>
  <c r="C651"/>
  <c r="B651"/>
  <c r="A651"/>
  <c r="CJ650"/>
  <c r="CI650"/>
  <c r="CH650"/>
  <c r="CG650"/>
  <c r="CF650"/>
  <c r="CE650"/>
  <c r="CD650"/>
  <c r="CC650"/>
  <c r="CB650"/>
  <c r="CA650"/>
  <c r="BZ650"/>
  <c r="BY650"/>
  <c r="BX650"/>
  <c r="BW650"/>
  <c r="BV650"/>
  <c r="BU650"/>
  <c r="BT650"/>
  <c r="BS650"/>
  <c r="BR650"/>
  <c r="BQ650"/>
  <c r="BP650"/>
  <c r="BO650"/>
  <c r="BN650"/>
  <c r="BM650"/>
  <c r="BL650"/>
  <c r="BK650"/>
  <c r="BJ650"/>
  <c r="BI650"/>
  <c r="BH650"/>
  <c r="BG650"/>
  <c r="BF650"/>
  <c r="BE650"/>
  <c r="BD650"/>
  <c r="BC650"/>
  <c r="BB650"/>
  <c r="BA650"/>
  <c r="AZ650"/>
  <c r="AY650"/>
  <c r="AX650"/>
  <c r="AW650"/>
  <c r="AV650"/>
  <c r="AU650"/>
  <c r="AT650"/>
  <c r="AS650"/>
  <c r="AR650"/>
  <c r="AQ650"/>
  <c r="AP650"/>
  <c r="AO650"/>
  <c r="AN650"/>
  <c r="AM650"/>
  <c r="AL650"/>
  <c r="AK650"/>
  <c r="AJ650"/>
  <c r="AI650"/>
  <c r="AH650"/>
  <c r="AG650"/>
  <c r="AF650"/>
  <c r="AE650"/>
  <c r="AD650"/>
  <c r="AC650"/>
  <c r="AB650"/>
  <c r="AA650"/>
  <c r="Z650"/>
  <c r="Y650"/>
  <c r="X650"/>
  <c r="W650"/>
  <c r="V650"/>
  <c r="U650"/>
  <c r="T650"/>
  <c r="S650"/>
  <c r="R650"/>
  <c r="Q650"/>
  <c r="P650"/>
  <c r="O650"/>
  <c r="N650"/>
  <c r="M650"/>
  <c r="L650"/>
  <c r="K650"/>
  <c r="J650"/>
  <c r="I650"/>
  <c r="H650"/>
  <c r="G650"/>
  <c r="F650"/>
  <c r="E650"/>
  <c r="D650"/>
  <c r="C650"/>
  <c r="B650"/>
  <c r="A650"/>
  <c r="CJ649"/>
  <c r="CI649"/>
  <c r="CH649"/>
  <c r="CG649"/>
  <c r="CF649"/>
  <c r="CE649"/>
  <c r="CD649"/>
  <c r="CC649"/>
  <c r="CB649"/>
  <c r="CA649"/>
  <c r="BZ649"/>
  <c r="BY649"/>
  <c r="BX649"/>
  <c r="BW649"/>
  <c r="BV649"/>
  <c r="BU649"/>
  <c r="BT649"/>
  <c r="BS649"/>
  <c r="BR649"/>
  <c r="BQ649"/>
  <c r="BP649"/>
  <c r="BO649"/>
  <c r="BN649"/>
  <c r="BM649"/>
  <c r="BL649"/>
  <c r="BK649"/>
  <c r="BJ649"/>
  <c r="BI649"/>
  <c r="BH649"/>
  <c r="BG649"/>
  <c r="BF649"/>
  <c r="BE649"/>
  <c r="BD649"/>
  <c r="BC649"/>
  <c r="BB649"/>
  <c r="BA649"/>
  <c r="AZ649"/>
  <c r="AY649"/>
  <c r="AX649"/>
  <c r="AW649"/>
  <c r="AV649"/>
  <c r="AU649"/>
  <c r="AT649"/>
  <c r="AS649"/>
  <c r="AR649"/>
  <c r="AQ649"/>
  <c r="AP649"/>
  <c r="AO649"/>
  <c r="AN649"/>
  <c r="AM649"/>
  <c r="AL649"/>
  <c r="AK649"/>
  <c r="AJ649"/>
  <c r="AI649"/>
  <c r="AH649"/>
  <c r="AG649"/>
  <c r="AF649"/>
  <c r="AE649"/>
  <c r="AD649"/>
  <c r="AC649"/>
  <c r="AB649"/>
  <c r="AA649"/>
  <c r="Z649"/>
  <c r="Y649"/>
  <c r="X649"/>
  <c r="W649"/>
  <c r="V649"/>
  <c r="U649"/>
  <c r="T649"/>
  <c r="S649"/>
  <c r="R649"/>
  <c r="Q649"/>
  <c r="P649"/>
  <c r="O649"/>
  <c r="N649"/>
  <c r="M649"/>
  <c r="L649"/>
  <c r="K649"/>
  <c r="J649"/>
  <c r="I649"/>
  <c r="H649"/>
  <c r="G649"/>
  <c r="F649"/>
  <c r="E649"/>
  <c r="D649"/>
  <c r="C649"/>
  <c r="B649"/>
  <c r="A649"/>
  <c r="CJ648"/>
  <c r="CI648"/>
  <c r="CH648"/>
  <c r="CG648"/>
  <c r="CF648"/>
  <c r="CE648"/>
  <c r="CD648"/>
  <c r="CC648"/>
  <c r="CB648"/>
  <c r="CA648"/>
  <c r="BZ648"/>
  <c r="BY648"/>
  <c r="BX648"/>
  <c r="BW648"/>
  <c r="BV648"/>
  <c r="BU648"/>
  <c r="BT648"/>
  <c r="BS648"/>
  <c r="BR648"/>
  <c r="BQ648"/>
  <c r="BP648"/>
  <c r="BO648"/>
  <c r="BN648"/>
  <c r="BM648"/>
  <c r="BL648"/>
  <c r="BK648"/>
  <c r="BJ648"/>
  <c r="BI648"/>
  <c r="BH648"/>
  <c r="BG648"/>
  <c r="BF648"/>
  <c r="BE648"/>
  <c r="BD648"/>
  <c r="BC648"/>
  <c r="BB648"/>
  <c r="BA648"/>
  <c r="AZ648"/>
  <c r="AY648"/>
  <c r="AX648"/>
  <c r="AW648"/>
  <c r="AV648"/>
  <c r="AU648"/>
  <c r="AT648"/>
  <c r="AS648"/>
  <c r="AR648"/>
  <c r="AQ648"/>
  <c r="AP648"/>
  <c r="AO648"/>
  <c r="AN648"/>
  <c r="AM648"/>
  <c r="AL648"/>
  <c r="AK648"/>
  <c r="AJ648"/>
  <c r="AI648"/>
  <c r="AH648"/>
  <c r="AG648"/>
  <c r="AF648"/>
  <c r="AE648"/>
  <c r="AD648"/>
  <c r="AC648"/>
  <c r="AB648"/>
  <c r="AA648"/>
  <c r="Z648"/>
  <c r="Y648"/>
  <c r="X648"/>
  <c r="W648"/>
  <c r="V648"/>
  <c r="U648"/>
  <c r="T648"/>
  <c r="S648"/>
  <c r="R648"/>
  <c r="Q648"/>
  <c r="P648"/>
  <c r="O648"/>
  <c r="N648"/>
  <c r="M648"/>
  <c r="L648"/>
  <c r="K648"/>
  <c r="J648"/>
  <c r="I648"/>
  <c r="H648"/>
  <c r="G648"/>
  <c r="F648"/>
  <c r="E648"/>
  <c r="D648"/>
  <c r="C648"/>
  <c r="B648"/>
  <c r="A648"/>
  <c r="CJ647"/>
  <c r="CI647"/>
  <c r="CH647"/>
  <c r="CG647"/>
  <c r="CF647"/>
  <c r="CE647"/>
  <c r="CD647"/>
  <c r="CC647"/>
  <c r="CB647"/>
  <c r="CA647"/>
  <c r="BZ647"/>
  <c r="BY647"/>
  <c r="BX647"/>
  <c r="BW647"/>
  <c r="BV647"/>
  <c r="BU647"/>
  <c r="BT647"/>
  <c r="BS647"/>
  <c r="BR647"/>
  <c r="BQ647"/>
  <c r="BP647"/>
  <c r="BO647"/>
  <c r="BN647"/>
  <c r="BM647"/>
  <c r="BL647"/>
  <c r="BK647"/>
  <c r="BJ647"/>
  <c r="BI647"/>
  <c r="BH647"/>
  <c r="BG647"/>
  <c r="BF647"/>
  <c r="BE647"/>
  <c r="BD647"/>
  <c r="BC647"/>
  <c r="BB647"/>
  <c r="BA647"/>
  <c r="AZ647"/>
  <c r="AY647"/>
  <c r="AX647"/>
  <c r="AW647"/>
  <c r="AV647"/>
  <c r="AU647"/>
  <c r="AT647"/>
  <c r="AS647"/>
  <c r="AR647"/>
  <c r="AQ647"/>
  <c r="AP647"/>
  <c r="AO647"/>
  <c r="AN647"/>
  <c r="AM647"/>
  <c r="AL647"/>
  <c r="AK647"/>
  <c r="AJ647"/>
  <c r="AI647"/>
  <c r="AH647"/>
  <c r="AG647"/>
  <c r="AF647"/>
  <c r="AE647"/>
  <c r="AD647"/>
  <c r="AC647"/>
  <c r="AB647"/>
  <c r="AA647"/>
  <c r="Z647"/>
  <c r="Y647"/>
  <c r="X647"/>
  <c r="W647"/>
  <c r="V647"/>
  <c r="U647"/>
  <c r="T647"/>
  <c r="S647"/>
  <c r="R647"/>
  <c r="Q647"/>
  <c r="P647"/>
  <c r="O647"/>
  <c r="N647"/>
  <c r="M647"/>
  <c r="L647"/>
  <c r="K647"/>
  <c r="J647"/>
  <c r="I647"/>
  <c r="H647"/>
  <c r="G647"/>
  <c r="F647"/>
  <c r="E647"/>
  <c r="D647"/>
  <c r="C647"/>
  <c r="B647"/>
  <c r="A647"/>
  <c r="CJ646"/>
  <c r="CI646"/>
  <c r="CH646"/>
  <c r="CG646"/>
  <c r="CF646"/>
  <c r="CE646"/>
  <c r="CD646"/>
  <c r="CC646"/>
  <c r="CB646"/>
  <c r="CA646"/>
  <c r="BZ646"/>
  <c r="BY646"/>
  <c r="BX646"/>
  <c r="BW646"/>
  <c r="BV646"/>
  <c r="BU646"/>
  <c r="BT646"/>
  <c r="BS646"/>
  <c r="BR646"/>
  <c r="BQ646"/>
  <c r="BP646"/>
  <c r="BO646"/>
  <c r="BN646"/>
  <c r="BM646"/>
  <c r="BL646"/>
  <c r="BK646"/>
  <c r="BJ646"/>
  <c r="BI646"/>
  <c r="BH646"/>
  <c r="BG646"/>
  <c r="BF646"/>
  <c r="BE646"/>
  <c r="BD646"/>
  <c r="BC646"/>
  <c r="BB646"/>
  <c r="BA646"/>
  <c r="AZ646"/>
  <c r="AY646"/>
  <c r="AX646"/>
  <c r="AW646"/>
  <c r="AV646"/>
  <c r="AU646"/>
  <c r="AT646"/>
  <c r="AS646"/>
  <c r="AR646"/>
  <c r="AQ646"/>
  <c r="AP646"/>
  <c r="AO646"/>
  <c r="AN646"/>
  <c r="AM646"/>
  <c r="AL646"/>
  <c r="AK646"/>
  <c r="AJ646"/>
  <c r="AI646"/>
  <c r="AH646"/>
  <c r="AG646"/>
  <c r="AF646"/>
  <c r="AE646"/>
  <c r="AD646"/>
  <c r="AC646"/>
  <c r="AB646"/>
  <c r="AA646"/>
  <c r="Z646"/>
  <c r="Y646"/>
  <c r="X646"/>
  <c r="W646"/>
  <c r="V646"/>
  <c r="U646"/>
  <c r="T646"/>
  <c r="S646"/>
  <c r="R646"/>
  <c r="Q646"/>
  <c r="P646"/>
  <c r="O646"/>
  <c r="N646"/>
  <c r="M646"/>
  <c r="L646"/>
  <c r="K646"/>
  <c r="J646"/>
  <c r="I646"/>
  <c r="H646"/>
  <c r="G646"/>
  <c r="F646"/>
  <c r="E646"/>
  <c r="D646"/>
  <c r="C646"/>
  <c r="B646"/>
  <c r="A646"/>
  <c r="CJ645"/>
  <c r="CI645"/>
  <c r="CH645"/>
  <c r="CG645"/>
  <c r="CF645"/>
  <c r="CE645"/>
  <c r="CD645"/>
  <c r="CC645"/>
  <c r="CB645"/>
  <c r="CA645"/>
  <c r="BZ645"/>
  <c r="BY645"/>
  <c r="BX645"/>
  <c r="BW645"/>
  <c r="BV645"/>
  <c r="BU645"/>
  <c r="BT645"/>
  <c r="BS645"/>
  <c r="BR645"/>
  <c r="BQ645"/>
  <c r="BP645"/>
  <c r="BO645"/>
  <c r="BN645"/>
  <c r="BM645"/>
  <c r="BL645"/>
  <c r="BK645"/>
  <c r="BJ645"/>
  <c r="BI645"/>
  <c r="BH645"/>
  <c r="BG645"/>
  <c r="BF645"/>
  <c r="BE645"/>
  <c r="BD645"/>
  <c r="BC645"/>
  <c r="BB645"/>
  <c r="BA645"/>
  <c r="AZ645"/>
  <c r="AY645"/>
  <c r="AX645"/>
  <c r="AW645"/>
  <c r="AV645"/>
  <c r="AU645"/>
  <c r="AT645"/>
  <c r="AS645"/>
  <c r="AR645"/>
  <c r="AQ645"/>
  <c r="AP645"/>
  <c r="AO645"/>
  <c r="AN645"/>
  <c r="AM645"/>
  <c r="AL645"/>
  <c r="AK645"/>
  <c r="AJ645"/>
  <c r="AI645"/>
  <c r="AH645"/>
  <c r="AG645"/>
  <c r="AF645"/>
  <c r="AE645"/>
  <c r="AD645"/>
  <c r="AC645"/>
  <c r="AB645"/>
  <c r="AA645"/>
  <c r="Z645"/>
  <c r="Y645"/>
  <c r="X645"/>
  <c r="W645"/>
  <c r="V645"/>
  <c r="U645"/>
  <c r="T645"/>
  <c r="S645"/>
  <c r="R645"/>
  <c r="Q645"/>
  <c r="P645"/>
  <c r="O645"/>
  <c r="N645"/>
  <c r="M645"/>
  <c r="L645"/>
  <c r="K645"/>
  <c r="J645"/>
  <c r="I645"/>
  <c r="H645"/>
  <c r="G645"/>
  <c r="F645"/>
  <c r="E645"/>
  <c r="D645"/>
  <c r="C645"/>
  <c r="B645"/>
  <c r="A645"/>
  <c r="CJ644"/>
  <c r="CI644"/>
  <c r="CH644"/>
  <c r="CG644"/>
  <c r="CF644"/>
  <c r="CE644"/>
  <c r="CD644"/>
  <c r="CC644"/>
  <c r="CB644"/>
  <c r="CA644"/>
  <c r="BZ644"/>
  <c r="BY644"/>
  <c r="BX644"/>
  <c r="BW644"/>
  <c r="BV644"/>
  <c r="BU644"/>
  <c r="BT644"/>
  <c r="BS644"/>
  <c r="BR644"/>
  <c r="BQ644"/>
  <c r="BP644"/>
  <c r="BO644"/>
  <c r="BN644"/>
  <c r="BM644"/>
  <c r="BL644"/>
  <c r="BK644"/>
  <c r="BJ644"/>
  <c r="BI644"/>
  <c r="BH644"/>
  <c r="BG644"/>
  <c r="BF644"/>
  <c r="BE644"/>
  <c r="BD644"/>
  <c r="BC644"/>
  <c r="BB644"/>
  <c r="BA644"/>
  <c r="AZ644"/>
  <c r="AY644"/>
  <c r="AX644"/>
  <c r="AW644"/>
  <c r="AV644"/>
  <c r="AU644"/>
  <c r="AT644"/>
  <c r="AS644"/>
  <c r="AR644"/>
  <c r="AQ644"/>
  <c r="AP644"/>
  <c r="AO644"/>
  <c r="AN644"/>
  <c r="AM644"/>
  <c r="AL644"/>
  <c r="AK644"/>
  <c r="AJ644"/>
  <c r="AI644"/>
  <c r="AH644"/>
  <c r="AG644"/>
  <c r="AF644"/>
  <c r="AE644"/>
  <c r="AD644"/>
  <c r="AC644"/>
  <c r="AB644"/>
  <c r="AA644"/>
  <c r="Z644"/>
  <c r="Y644"/>
  <c r="X644"/>
  <c r="W644"/>
  <c r="V644"/>
  <c r="U644"/>
  <c r="T644"/>
  <c r="S644"/>
  <c r="R644"/>
  <c r="Q644"/>
  <c r="P644"/>
  <c r="O644"/>
  <c r="N644"/>
  <c r="M644"/>
  <c r="L644"/>
  <c r="K644"/>
  <c r="J644"/>
  <c r="I644"/>
  <c r="H644"/>
  <c r="G644"/>
  <c r="F644"/>
  <c r="E644"/>
  <c r="D644"/>
  <c r="C644"/>
  <c r="B644"/>
  <c r="A644"/>
  <c r="CJ643"/>
  <c r="CI643"/>
  <c r="CH643"/>
  <c r="CG643"/>
  <c r="CF643"/>
  <c r="CE643"/>
  <c r="CD643"/>
  <c r="CC643"/>
  <c r="CB643"/>
  <c r="CA643"/>
  <c r="BZ643"/>
  <c r="BY643"/>
  <c r="BX643"/>
  <c r="BW643"/>
  <c r="BV643"/>
  <c r="BU643"/>
  <c r="BT643"/>
  <c r="BS643"/>
  <c r="BR643"/>
  <c r="BQ643"/>
  <c r="BP643"/>
  <c r="BO643"/>
  <c r="BN643"/>
  <c r="BM643"/>
  <c r="BL643"/>
  <c r="BK643"/>
  <c r="BJ643"/>
  <c r="BI643"/>
  <c r="BH643"/>
  <c r="BG643"/>
  <c r="BF643"/>
  <c r="BE643"/>
  <c r="BD643"/>
  <c r="BC643"/>
  <c r="BB643"/>
  <c r="BA643"/>
  <c r="AZ643"/>
  <c r="AY643"/>
  <c r="AX643"/>
  <c r="AW643"/>
  <c r="AV643"/>
  <c r="AU643"/>
  <c r="AT643"/>
  <c r="AS643"/>
  <c r="AR643"/>
  <c r="AQ643"/>
  <c r="AP643"/>
  <c r="AO643"/>
  <c r="AN643"/>
  <c r="AM643"/>
  <c r="AL643"/>
  <c r="AK643"/>
  <c r="AJ643"/>
  <c r="AI643"/>
  <c r="AH643"/>
  <c r="AG643"/>
  <c r="AF643"/>
  <c r="AE643"/>
  <c r="AD643"/>
  <c r="AC643"/>
  <c r="AB643"/>
  <c r="AA643"/>
  <c r="Z643"/>
  <c r="Y643"/>
  <c r="X643"/>
  <c r="W643"/>
  <c r="V643"/>
  <c r="U643"/>
  <c r="T643"/>
  <c r="S643"/>
  <c r="R643"/>
  <c r="Q643"/>
  <c r="P643"/>
  <c r="O643"/>
  <c r="N643"/>
  <c r="M643"/>
  <c r="L643"/>
  <c r="K643"/>
  <c r="J643"/>
  <c r="I643"/>
  <c r="H643"/>
  <c r="G643"/>
  <c r="F643"/>
  <c r="E643"/>
  <c r="D643"/>
  <c r="C643"/>
  <c r="B643"/>
  <c r="A643"/>
  <c r="CJ642"/>
  <c r="CI642"/>
  <c r="CH642"/>
  <c r="CG642"/>
  <c r="CF642"/>
  <c r="CE642"/>
  <c r="CD642"/>
  <c r="CC642"/>
  <c r="CB642"/>
  <c r="CA642"/>
  <c r="BZ642"/>
  <c r="BY642"/>
  <c r="BX642"/>
  <c r="BW642"/>
  <c r="BV642"/>
  <c r="BU642"/>
  <c r="BT642"/>
  <c r="BS642"/>
  <c r="BR642"/>
  <c r="BQ642"/>
  <c r="BP642"/>
  <c r="BO642"/>
  <c r="BN642"/>
  <c r="BM642"/>
  <c r="BL642"/>
  <c r="BK642"/>
  <c r="BJ642"/>
  <c r="BI642"/>
  <c r="BH642"/>
  <c r="BG642"/>
  <c r="BF642"/>
  <c r="BE642"/>
  <c r="BD642"/>
  <c r="BC642"/>
  <c r="BB642"/>
  <c r="BA642"/>
  <c r="AZ642"/>
  <c r="AY642"/>
  <c r="AX642"/>
  <c r="AW642"/>
  <c r="AV642"/>
  <c r="AU642"/>
  <c r="AT642"/>
  <c r="AS642"/>
  <c r="AR642"/>
  <c r="AQ642"/>
  <c r="AP642"/>
  <c r="AO642"/>
  <c r="AN642"/>
  <c r="AM642"/>
  <c r="AL642"/>
  <c r="AK642"/>
  <c r="AJ642"/>
  <c r="AI642"/>
  <c r="AH642"/>
  <c r="AG642"/>
  <c r="AF642"/>
  <c r="AE642"/>
  <c r="AD642"/>
  <c r="AC642"/>
  <c r="AB642"/>
  <c r="AA642"/>
  <c r="Z642"/>
  <c r="Y642"/>
  <c r="X642"/>
  <c r="W642"/>
  <c r="V642"/>
  <c r="U642"/>
  <c r="T642"/>
  <c r="S642"/>
  <c r="R642"/>
  <c r="Q642"/>
  <c r="P642"/>
  <c r="O642"/>
  <c r="N642"/>
  <c r="M642"/>
  <c r="L642"/>
  <c r="K642"/>
  <c r="J642"/>
  <c r="I642"/>
  <c r="H642"/>
  <c r="G642"/>
  <c r="F642"/>
  <c r="E642"/>
  <c r="D642"/>
  <c r="C642"/>
  <c r="B642"/>
  <c r="A642"/>
  <c r="CJ641"/>
  <c r="CI641"/>
  <c r="CH641"/>
  <c r="CG641"/>
  <c r="CF641"/>
  <c r="CE641"/>
  <c r="CD641"/>
  <c r="CC641"/>
  <c r="CB641"/>
  <c r="CA641"/>
  <c r="BZ641"/>
  <c r="BY641"/>
  <c r="BX641"/>
  <c r="BW641"/>
  <c r="BV641"/>
  <c r="BU641"/>
  <c r="BT641"/>
  <c r="BS641"/>
  <c r="BR641"/>
  <c r="BQ641"/>
  <c r="BP641"/>
  <c r="BO641"/>
  <c r="BN641"/>
  <c r="BM641"/>
  <c r="BL641"/>
  <c r="BK641"/>
  <c r="BJ641"/>
  <c r="BI641"/>
  <c r="BH641"/>
  <c r="BG641"/>
  <c r="BF641"/>
  <c r="BE641"/>
  <c r="BD641"/>
  <c r="BC641"/>
  <c r="BB641"/>
  <c r="BA641"/>
  <c r="AZ641"/>
  <c r="AY641"/>
  <c r="AX641"/>
  <c r="AW641"/>
  <c r="AV641"/>
  <c r="AU641"/>
  <c r="AT641"/>
  <c r="AS641"/>
  <c r="AR641"/>
  <c r="AQ641"/>
  <c r="AP641"/>
  <c r="AO641"/>
  <c r="AN641"/>
  <c r="AM641"/>
  <c r="AL641"/>
  <c r="AK641"/>
  <c r="AJ641"/>
  <c r="AI641"/>
  <c r="AH641"/>
  <c r="AG641"/>
  <c r="AF641"/>
  <c r="AE641"/>
  <c r="AD641"/>
  <c r="AC641"/>
  <c r="AB641"/>
  <c r="AA641"/>
  <c r="Z641"/>
  <c r="Y641"/>
  <c r="X641"/>
  <c r="W641"/>
  <c r="V641"/>
  <c r="U641"/>
  <c r="T641"/>
  <c r="S641"/>
  <c r="R641"/>
  <c r="Q641"/>
  <c r="P641"/>
  <c r="O641"/>
  <c r="N641"/>
  <c r="M641"/>
  <c r="L641"/>
  <c r="K641"/>
  <c r="J641"/>
  <c r="I641"/>
  <c r="H641"/>
  <c r="G641"/>
  <c r="F641"/>
  <c r="E641"/>
  <c r="D641"/>
  <c r="C641"/>
  <c r="B641"/>
  <c r="A641"/>
  <c r="CJ640"/>
  <c r="CI640"/>
  <c r="CH640"/>
  <c r="CG640"/>
  <c r="CF640"/>
  <c r="CE640"/>
  <c r="CD640"/>
  <c r="CC640"/>
  <c r="CB640"/>
  <c r="CA640"/>
  <c r="BZ640"/>
  <c r="BY640"/>
  <c r="BX640"/>
  <c r="BW640"/>
  <c r="BV640"/>
  <c r="BU640"/>
  <c r="BT640"/>
  <c r="BS640"/>
  <c r="BR640"/>
  <c r="BQ640"/>
  <c r="BP640"/>
  <c r="BO640"/>
  <c r="BN640"/>
  <c r="BM640"/>
  <c r="BL640"/>
  <c r="BK640"/>
  <c r="BJ640"/>
  <c r="BI640"/>
  <c r="BH640"/>
  <c r="BG640"/>
  <c r="BF640"/>
  <c r="BE640"/>
  <c r="BD640"/>
  <c r="BC640"/>
  <c r="BB640"/>
  <c r="BA640"/>
  <c r="AZ640"/>
  <c r="AY640"/>
  <c r="AX640"/>
  <c r="AW640"/>
  <c r="AV640"/>
  <c r="AU640"/>
  <c r="AT640"/>
  <c r="AS640"/>
  <c r="AR640"/>
  <c r="AQ640"/>
  <c r="AP640"/>
  <c r="AO640"/>
  <c r="AN640"/>
  <c r="AM640"/>
  <c r="AL640"/>
  <c r="AK640"/>
  <c r="AJ640"/>
  <c r="AI640"/>
  <c r="AH640"/>
  <c r="AG640"/>
  <c r="AF640"/>
  <c r="AE640"/>
  <c r="AD640"/>
  <c r="AC640"/>
  <c r="AB640"/>
  <c r="AA640"/>
  <c r="Z640"/>
  <c r="Y640"/>
  <c r="X640"/>
  <c r="W640"/>
  <c r="V640"/>
  <c r="U640"/>
  <c r="T640"/>
  <c r="S640"/>
  <c r="R640"/>
  <c r="Q640"/>
  <c r="P640"/>
  <c r="O640"/>
  <c r="N640"/>
  <c r="M640"/>
  <c r="L640"/>
  <c r="K640"/>
  <c r="J640"/>
  <c r="I640"/>
  <c r="H640"/>
  <c r="G640"/>
  <c r="F640"/>
  <c r="E640"/>
  <c r="D640"/>
  <c r="C640"/>
  <c r="B640"/>
  <c r="A640"/>
  <c r="CJ639"/>
  <c r="CI639"/>
  <c r="CH639"/>
  <c r="CG639"/>
  <c r="CF639"/>
  <c r="CE639"/>
  <c r="CD639"/>
  <c r="CC639"/>
  <c r="CB639"/>
  <c r="CA639"/>
  <c r="BZ639"/>
  <c r="BY639"/>
  <c r="BX639"/>
  <c r="BW639"/>
  <c r="BV639"/>
  <c r="BU639"/>
  <c r="BT639"/>
  <c r="BS639"/>
  <c r="BR639"/>
  <c r="BQ639"/>
  <c r="BP639"/>
  <c r="BO639"/>
  <c r="BN639"/>
  <c r="BM639"/>
  <c r="BL639"/>
  <c r="BK639"/>
  <c r="BJ639"/>
  <c r="BI639"/>
  <c r="BH639"/>
  <c r="BG639"/>
  <c r="BF639"/>
  <c r="BE639"/>
  <c r="BD639"/>
  <c r="BC639"/>
  <c r="BB639"/>
  <c r="BA639"/>
  <c r="AZ639"/>
  <c r="AY639"/>
  <c r="AX639"/>
  <c r="AW639"/>
  <c r="AV639"/>
  <c r="AU639"/>
  <c r="AT639"/>
  <c r="AS639"/>
  <c r="AR639"/>
  <c r="AQ639"/>
  <c r="AP639"/>
  <c r="AO639"/>
  <c r="AN639"/>
  <c r="AM639"/>
  <c r="AL639"/>
  <c r="AK639"/>
  <c r="AJ639"/>
  <c r="AI639"/>
  <c r="AH639"/>
  <c r="AG639"/>
  <c r="AF639"/>
  <c r="AE639"/>
  <c r="AD639"/>
  <c r="AC639"/>
  <c r="AB639"/>
  <c r="AA639"/>
  <c r="Z639"/>
  <c r="Y639"/>
  <c r="X639"/>
  <c r="W639"/>
  <c r="V639"/>
  <c r="U639"/>
  <c r="T639"/>
  <c r="S639"/>
  <c r="R639"/>
  <c r="Q639"/>
  <c r="P639"/>
  <c r="O639"/>
  <c r="N639"/>
  <c r="M639"/>
  <c r="L639"/>
  <c r="K639"/>
  <c r="J639"/>
  <c r="I639"/>
  <c r="H639"/>
  <c r="G639"/>
  <c r="F639"/>
  <c r="E639"/>
  <c r="D639"/>
  <c r="C639"/>
  <c r="B639"/>
  <c r="A639"/>
  <c r="CJ638"/>
  <c r="CI638"/>
  <c r="CH638"/>
  <c r="CG638"/>
  <c r="CF638"/>
  <c r="CE638"/>
  <c r="CD638"/>
  <c r="CC638"/>
  <c r="CB638"/>
  <c r="CA638"/>
  <c r="BZ638"/>
  <c r="BY638"/>
  <c r="BX638"/>
  <c r="BW638"/>
  <c r="BV638"/>
  <c r="BU638"/>
  <c r="BT638"/>
  <c r="BS638"/>
  <c r="BR638"/>
  <c r="BQ638"/>
  <c r="BP638"/>
  <c r="BO638"/>
  <c r="BN638"/>
  <c r="BM638"/>
  <c r="BL638"/>
  <c r="BK638"/>
  <c r="BJ638"/>
  <c r="BI638"/>
  <c r="BH638"/>
  <c r="BG638"/>
  <c r="BF638"/>
  <c r="BE638"/>
  <c r="BD638"/>
  <c r="BC638"/>
  <c r="BB638"/>
  <c r="BA638"/>
  <c r="AZ638"/>
  <c r="AY638"/>
  <c r="AX638"/>
  <c r="AW638"/>
  <c r="AV638"/>
  <c r="AU638"/>
  <c r="AT638"/>
  <c r="AS638"/>
  <c r="AR638"/>
  <c r="AQ638"/>
  <c r="AP638"/>
  <c r="AO638"/>
  <c r="AN638"/>
  <c r="AM638"/>
  <c r="AL638"/>
  <c r="AK638"/>
  <c r="AJ638"/>
  <c r="AI638"/>
  <c r="AH638"/>
  <c r="AG638"/>
  <c r="AF638"/>
  <c r="AE638"/>
  <c r="AD638"/>
  <c r="AC638"/>
  <c r="AB638"/>
  <c r="AA638"/>
  <c r="Z638"/>
  <c r="Y638"/>
  <c r="X638"/>
  <c r="W638"/>
  <c r="V638"/>
  <c r="U638"/>
  <c r="T638"/>
  <c r="S638"/>
  <c r="R638"/>
  <c r="Q638"/>
  <c r="P638"/>
  <c r="O638"/>
  <c r="N638"/>
  <c r="M638"/>
  <c r="L638"/>
  <c r="K638"/>
  <c r="J638"/>
  <c r="I638"/>
  <c r="H638"/>
  <c r="G638"/>
  <c r="F638"/>
  <c r="E638"/>
  <c r="D638"/>
  <c r="C638"/>
  <c r="B638"/>
  <c r="A638"/>
  <c r="CJ637"/>
  <c r="CI637"/>
  <c r="CH637"/>
  <c r="CG637"/>
  <c r="CF637"/>
  <c r="CE637"/>
  <c r="CD637"/>
  <c r="CC637"/>
  <c r="CB637"/>
  <c r="CA637"/>
  <c r="BZ637"/>
  <c r="BY637"/>
  <c r="BX637"/>
  <c r="BW637"/>
  <c r="BV637"/>
  <c r="BU637"/>
  <c r="BT637"/>
  <c r="BS637"/>
  <c r="BR637"/>
  <c r="BQ637"/>
  <c r="BP637"/>
  <c r="BO637"/>
  <c r="BN637"/>
  <c r="BM637"/>
  <c r="BL637"/>
  <c r="BK637"/>
  <c r="BJ637"/>
  <c r="BI637"/>
  <c r="BH637"/>
  <c r="BG637"/>
  <c r="BF637"/>
  <c r="BE637"/>
  <c r="BD637"/>
  <c r="BC637"/>
  <c r="BB637"/>
  <c r="BA637"/>
  <c r="AZ637"/>
  <c r="AY637"/>
  <c r="AX637"/>
  <c r="AW637"/>
  <c r="AV637"/>
  <c r="AU637"/>
  <c r="AT637"/>
  <c r="AS637"/>
  <c r="AR637"/>
  <c r="AQ637"/>
  <c r="AP637"/>
  <c r="AO637"/>
  <c r="AN637"/>
  <c r="AM637"/>
  <c r="AL637"/>
  <c r="AK637"/>
  <c r="AJ637"/>
  <c r="AI637"/>
  <c r="AH637"/>
  <c r="AG637"/>
  <c r="AF637"/>
  <c r="AE637"/>
  <c r="AD637"/>
  <c r="AC637"/>
  <c r="AB637"/>
  <c r="AA637"/>
  <c r="Z637"/>
  <c r="Y637"/>
  <c r="X637"/>
  <c r="W637"/>
  <c r="V637"/>
  <c r="U637"/>
  <c r="T637"/>
  <c r="S637"/>
  <c r="R637"/>
  <c r="Q637"/>
  <c r="P637"/>
  <c r="O637"/>
  <c r="N637"/>
  <c r="M637"/>
  <c r="L637"/>
  <c r="K637"/>
  <c r="J637"/>
  <c r="I637"/>
  <c r="H637"/>
  <c r="G637"/>
  <c r="F637"/>
  <c r="E637"/>
  <c r="D637"/>
  <c r="C637"/>
  <c r="B637"/>
  <c r="A637"/>
  <c r="CJ636"/>
  <c r="CI636"/>
  <c r="CH636"/>
  <c r="CG636"/>
  <c r="CF636"/>
  <c r="CE636"/>
  <c r="CD636"/>
  <c r="CC636"/>
  <c r="CB636"/>
  <c r="CA636"/>
  <c r="BZ636"/>
  <c r="BY636"/>
  <c r="BX636"/>
  <c r="BW636"/>
  <c r="BV636"/>
  <c r="BU636"/>
  <c r="BT636"/>
  <c r="BS636"/>
  <c r="BR636"/>
  <c r="BQ636"/>
  <c r="BP636"/>
  <c r="BO636"/>
  <c r="BN636"/>
  <c r="BM636"/>
  <c r="BL636"/>
  <c r="BK636"/>
  <c r="BJ636"/>
  <c r="BI636"/>
  <c r="BH636"/>
  <c r="BG636"/>
  <c r="BF636"/>
  <c r="BE636"/>
  <c r="BD636"/>
  <c r="BC636"/>
  <c r="BB636"/>
  <c r="BA636"/>
  <c r="AZ636"/>
  <c r="AY636"/>
  <c r="AX636"/>
  <c r="AW636"/>
  <c r="AV636"/>
  <c r="AU636"/>
  <c r="AT636"/>
  <c r="AS636"/>
  <c r="AR636"/>
  <c r="AQ636"/>
  <c r="AP636"/>
  <c r="AO636"/>
  <c r="AN636"/>
  <c r="AM636"/>
  <c r="AL636"/>
  <c r="AK636"/>
  <c r="AJ636"/>
  <c r="AI636"/>
  <c r="AH636"/>
  <c r="AG636"/>
  <c r="AF636"/>
  <c r="AE636"/>
  <c r="AD636"/>
  <c r="AC636"/>
  <c r="AB636"/>
  <c r="AA636"/>
  <c r="Z636"/>
  <c r="Y636"/>
  <c r="X636"/>
  <c r="W636"/>
  <c r="V636"/>
  <c r="U636"/>
  <c r="T636"/>
  <c r="S636"/>
  <c r="R636"/>
  <c r="Q636"/>
  <c r="P636"/>
  <c r="O636"/>
  <c r="N636"/>
  <c r="M636"/>
  <c r="L636"/>
  <c r="K636"/>
  <c r="J636"/>
  <c r="I636"/>
  <c r="H636"/>
  <c r="G636"/>
  <c r="F636"/>
  <c r="E636"/>
  <c r="D636"/>
  <c r="C636"/>
  <c r="B636"/>
  <c r="A636"/>
  <c r="CJ635"/>
  <c r="CI635"/>
  <c r="CH635"/>
  <c r="CG635"/>
  <c r="CF635"/>
  <c r="CE635"/>
  <c r="CD635"/>
  <c r="CC635"/>
  <c r="CB635"/>
  <c r="CA635"/>
  <c r="BZ635"/>
  <c r="BY635"/>
  <c r="BX635"/>
  <c r="BW635"/>
  <c r="BV635"/>
  <c r="BU635"/>
  <c r="BT635"/>
  <c r="BS635"/>
  <c r="BR635"/>
  <c r="BQ635"/>
  <c r="BP635"/>
  <c r="BO635"/>
  <c r="BN635"/>
  <c r="BM635"/>
  <c r="BL635"/>
  <c r="BK635"/>
  <c r="BJ635"/>
  <c r="BI635"/>
  <c r="BH635"/>
  <c r="BG635"/>
  <c r="BF635"/>
  <c r="BE635"/>
  <c r="BD635"/>
  <c r="BC635"/>
  <c r="BB635"/>
  <c r="BA635"/>
  <c r="AZ635"/>
  <c r="AY635"/>
  <c r="AX635"/>
  <c r="AW635"/>
  <c r="AV635"/>
  <c r="AU635"/>
  <c r="AT635"/>
  <c r="AS635"/>
  <c r="AR635"/>
  <c r="AQ635"/>
  <c r="AP635"/>
  <c r="AO635"/>
  <c r="AN635"/>
  <c r="AM635"/>
  <c r="AL635"/>
  <c r="AK635"/>
  <c r="AJ635"/>
  <c r="AI635"/>
  <c r="AH635"/>
  <c r="AG635"/>
  <c r="AF635"/>
  <c r="AE635"/>
  <c r="AD635"/>
  <c r="AC635"/>
  <c r="AB635"/>
  <c r="AA635"/>
  <c r="Z635"/>
  <c r="Y635"/>
  <c r="X635"/>
  <c r="W635"/>
  <c r="V635"/>
  <c r="U635"/>
  <c r="T635"/>
  <c r="S635"/>
  <c r="R635"/>
  <c r="Q635"/>
  <c r="P635"/>
  <c r="O635"/>
  <c r="N635"/>
  <c r="M635"/>
  <c r="L635"/>
  <c r="K635"/>
  <c r="J635"/>
  <c r="I635"/>
  <c r="H635"/>
  <c r="G635"/>
  <c r="F635"/>
  <c r="E635"/>
  <c r="D635"/>
  <c r="C635"/>
  <c r="B635"/>
  <c r="A635"/>
  <c r="CJ634"/>
  <c r="CI634"/>
  <c r="CH634"/>
  <c r="CG634"/>
  <c r="CF634"/>
  <c r="CE634"/>
  <c r="CD634"/>
  <c r="CC634"/>
  <c r="CB634"/>
  <c r="CA634"/>
  <c r="BZ634"/>
  <c r="BY634"/>
  <c r="BX634"/>
  <c r="BW634"/>
  <c r="BV634"/>
  <c r="BU634"/>
  <c r="BT634"/>
  <c r="BS634"/>
  <c r="BR634"/>
  <c r="BQ634"/>
  <c r="BP634"/>
  <c r="BO634"/>
  <c r="BN634"/>
  <c r="BM634"/>
  <c r="BL634"/>
  <c r="BK634"/>
  <c r="BJ634"/>
  <c r="BI634"/>
  <c r="BH634"/>
  <c r="BG634"/>
  <c r="BF634"/>
  <c r="BE634"/>
  <c r="BD634"/>
  <c r="BC634"/>
  <c r="BB634"/>
  <c r="BA634"/>
  <c r="AZ634"/>
  <c r="AY634"/>
  <c r="AX634"/>
  <c r="AW634"/>
  <c r="AV634"/>
  <c r="AU634"/>
  <c r="AT634"/>
  <c r="AS634"/>
  <c r="AR634"/>
  <c r="AQ634"/>
  <c r="AP634"/>
  <c r="AO634"/>
  <c r="AN634"/>
  <c r="AM634"/>
  <c r="AL634"/>
  <c r="AK634"/>
  <c r="AJ634"/>
  <c r="AI634"/>
  <c r="AH634"/>
  <c r="AG634"/>
  <c r="AF634"/>
  <c r="AE634"/>
  <c r="AD634"/>
  <c r="AC634"/>
  <c r="AB634"/>
  <c r="AA634"/>
  <c r="Z634"/>
  <c r="Y634"/>
  <c r="X634"/>
  <c r="W634"/>
  <c r="V634"/>
  <c r="U634"/>
  <c r="T634"/>
  <c r="S634"/>
  <c r="R634"/>
  <c r="Q634"/>
  <c r="P634"/>
  <c r="O634"/>
  <c r="N634"/>
  <c r="M634"/>
  <c r="L634"/>
  <c r="K634"/>
  <c r="J634"/>
  <c r="I634"/>
  <c r="H634"/>
  <c r="G634"/>
  <c r="F634"/>
  <c r="E634"/>
  <c r="D634"/>
  <c r="C634"/>
  <c r="B634"/>
  <c r="A634"/>
  <c r="CJ633"/>
  <c r="CI633"/>
  <c r="CH633"/>
  <c r="CG633"/>
  <c r="CF633"/>
  <c r="CE633"/>
  <c r="CD633"/>
  <c r="CC633"/>
  <c r="CB633"/>
  <c r="CA633"/>
  <c r="BZ633"/>
  <c r="BY633"/>
  <c r="BX633"/>
  <c r="BW633"/>
  <c r="BV633"/>
  <c r="BU633"/>
  <c r="BT633"/>
  <c r="BS633"/>
  <c r="BR633"/>
  <c r="BQ633"/>
  <c r="BP633"/>
  <c r="BO633"/>
  <c r="BN633"/>
  <c r="BM633"/>
  <c r="BL633"/>
  <c r="BK633"/>
  <c r="BJ633"/>
  <c r="BI633"/>
  <c r="BH633"/>
  <c r="BG633"/>
  <c r="BF633"/>
  <c r="BE633"/>
  <c r="BD633"/>
  <c r="BC633"/>
  <c r="BB633"/>
  <c r="BA633"/>
  <c r="AZ633"/>
  <c r="AY633"/>
  <c r="AX633"/>
  <c r="AW633"/>
  <c r="AV633"/>
  <c r="AU633"/>
  <c r="AT633"/>
  <c r="AS633"/>
  <c r="AR633"/>
  <c r="AQ633"/>
  <c r="AP633"/>
  <c r="AO633"/>
  <c r="AN633"/>
  <c r="AM633"/>
  <c r="AL633"/>
  <c r="AK633"/>
  <c r="AJ633"/>
  <c r="AI633"/>
  <c r="AH633"/>
  <c r="AG633"/>
  <c r="AF633"/>
  <c r="AE633"/>
  <c r="AD633"/>
  <c r="AC633"/>
  <c r="AB633"/>
  <c r="AA633"/>
  <c r="Z633"/>
  <c r="Y633"/>
  <c r="X633"/>
  <c r="W633"/>
  <c r="V633"/>
  <c r="U633"/>
  <c r="T633"/>
  <c r="S633"/>
  <c r="R633"/>
  <c r="Q633"/>
  <c r="P633"/>
  <c r="O633"/>
  <c r="N633"/>
  <c r="M633"/>
  <c r="L633"/>
  <c r="K633"/>
  <c r="J633"/>
  <c r="I633"/>
  <c r="H633"/>
  <c r="G633"/>
  <c r="F633"/>
  <c r="E633"/>
  <c r="D633"/>
  <c r="C633"/>
  <c r="B633"/>
  <c r="A633"/>
  <c r="CJ632"/>
  <c r="CI632"/>
  <c r="CH632"/>
  <c r="CG632"/>
  <c r="CF632"/>
  <c r="CE632"/>
  <c r="CD632"/>
  <c r="CC632"/>
  <c r="CB632"/>
  <c r="CA632"/>
  <c r="BZ632"/>
  <c r="BY632"/>
  <c r="BX632"/>
  <c r="BW632"/>
  <c r="BV632"/>
  <c r="BU632"/>
  <c r="BT632"/>
  <c r="BS632"/>
  <c r="BR632"/>
  <c r="BQ632"/>
  <c r="BP632"/>
  <c r="BO632"/>
  <c r="BN632"/>
  <c r="BM632"/>
  <c r="BL632"/>
  <c r="BK632"/>
  <c r="BJ632"/>
  <c r="BI632"/>
  <c r="BH632"/>
  <c r="BG632"/>
  <c r="BF632"/>
  <c r="BE632"/>
  <c r="BD632"/>
  <c r="BC632"/>
  <c r="BB632"/>
  <c r="BA632"/>
  <c r="AZ632"/>
  <c r="AY632"/>
  <c r="AX632"/>
  <c r="AW632"/>
  <c r="AV632"/>
  <c r="AU632"/>
  <c r="AT632"/>
  <c r="AS632"/>
  <c r="AR632"/>
  <c r="AQ632"/>
  <c r="AP632"/>
  <c r="AO632"/>
  <c r="AN632"/>
  <c r="AM632"/>
  <c r="AL632"/>
  <c r="AK632"/>
  <c r="AJ632"/>
  <c r="AI632"/>
  <c r="AH632"/>
  <c r="AG632"/>
  <c r="AF632"/>
  <c r="AE632"/>
  <c r="AD632"/>
  <c r="AC632"/>
  <c r="AB632"/>
  <c r="AA632"/>
  <c r="Z632"/>
  <c r="Y632"/>
  <c r="X632"/>
  <c r="W632"/>
  <c r="V632"/>
  <c r="U632"/>
  <c r="T632"/>
  <c r="S632"/>
  <c r="R632"/>
  <c r="Q632"/>
  <c r="P632"/>
  <c r="O632"/>
  <c r="N632"/>
  <c r="M632"/>
  <c r="L632"/>
  <c r="K632"/>
  <c r="J632"/>
  <c r="I632"/>
  <c r="H632"/>
  <c r="G632"/>
  <c r="F632"/>
  <c r="E632"/>
  <c r="D632"/>
  <c r="C632"/>
  <c r="B632"/>
  <c r="A632"/>
  <c r="CJ631"/>
  <c r="CI631"/>
  <c r="CH631"/>
  <c r="CG631"/>
  <c r="CF631"/>
  <c r="CE631"/>
  <c r="CD631"/>
  <c r="CC631"/>
  <c r="CB631"/>
  <c r="CA631"/>
  <c r="BZ631"/>
  <c r="BY631"/>
  <c r="BX631"/>
  <c r="BW631"/>
  <c r="BV631"/>
  <c r="BU631"/>
  <c r="BT631"/>
  <c r="BS631"/>
  <c r="BR631"/>
  <c r="BQ631"/>
  <c r="BP631"/>
  <c r="BO631"/>
  <c r="BN631"/>
  <c r="BM631"/>
  <c r="BL631"/>
  <c r="BK631"/>
  <c r="BJ631"/>
  <c r="BI631"/>
  <c r="BH631"/>
  <c r="BG631"/>
  <c r="BF631"/>
  <c r="BE631"/>
  <c r="BD631"/>
  <c r="BC631"/>
  <c r="BB631"/>
  <c r="BA631"/>
  <c r="AZ631"/>
  <c r="AY631"/>
  <c r="AX631"/>
  <c r="AW631"/>
  <c r="AV631"/>
  <c r="AU631"/>
  <c r="AT631"/>
  <c r="AS631"/>
  <c r="AR631"/>
  <c r="AQ631"/>
  <c r="AP631"/>
  <c r="AO631"/>
  <c r="AN631"/>
  <c r="AM631"/>
  <c r="AL631"/>
  <c r="AK631"/>
  <c r="AJ631"/>
  <c r="AI631"/>
  <c r="AH631"/>
  <c r="AG631"/>
  <c r="AF631"/>
  <c r="AE631"/>
  <c r="AD631"/>
  <c r="AC631"/>
  <c r="AB631"/>
  <c r="AA631"/>
  <c r="Z631"/>
  <c r="Y631"/>
  <c r="X631"/>
  <c r="W631"/>
  <c r="V631"/>
  <c r="U631"/>
  <c r="T631"/>
  <c r="S631"/>
  <c r="R631"/>
  <c r="Q631"/>
  <c r="P631"/>
  <c r="O631"/>
  <c r="N631"/>
  <c r="M631"/>
  <c r="L631"/>
  <c r="K631"/>
  <c r="J631"/>
  <c r="I631"/>
  <c r="H631"/>
  <c r="G631"/>
  <c r="F631"/>
  <c r="E631"/>
  <c r="D631"/>
  <c r="C631"/>
  <c r="B631"/>
  <c r="A631"/>
  <c r="CJ630"/>
  <c r="CI630"/>
  <c r="CH630"/>
  <c r="CG630"/>
  <c r="CF630"/>
  <c r="CE630"/>
  <c r="CD630"/>
  <c r="CC630"/>
  <c r="CB630"/>
  <c r="CA630"/>
  <c r="BZ630"/>
  <c r="BY630"/>
  <c r="BX630"/>
  <c r="BW630"/>
  <c r="BV630"/>
  <c r="BU630"/>
  <c r="BT630"/>
  <c r="BS630"/>
  <c r="BR630"/>
  <c r="BQ630"/>
  <c r="BP630"/>
  <c r="BO630"/>
  <c r="BN630"/>
  <c r="BM630"/>
  <c r="BL630"/>
  <c r="BK630"/>
  <c r="BJ630"/>
  <c r="BI630"/>
  <c r="BH630"/>
  <c r="BG630"/>
  <c r="BF630"/>
  <c r="BE630"/>
  <c r="BD630"/>
  <c r="BC630"/>
  <c r="BB630"/>
  <c r="BA630"/>
  <c r="AZ630"/>
  <c r="AY630"/>
  <c r="AX630"/>
  <c r="AW630"/>
  <c r="AV630"/>
  <c r="AU630"/>
  <c r="AT630"/>
  <c r="AS630"/>
  <c r="AR630"/>
  <c r="AQ630"/>
  <c r="AP630"/>
  <c r="AO630"/>
  <c r="AN630"/>
  <c r="AM630"/>
  <c r="AL630"/>
  <c r="AK630"/>
  <c r="AJ630"/>
  <c r="AI630"/>
  <c r="AH630"/>
  <c r="AG630"/>
  <c r="AF630"/>
  <c r="AE630"/>
  <c r="AD630"/>
  <c r="AC630"/>
  <c r="AB630"/>
  <c r="AA630"/>
  <c r="Z630"/>
  <c r="Y630"/>
  <c r="X630"/>
  <c r="W630"/>
  <c r="V630"/>
  <c r="U630"/>
  <c r="T630"/>
  <c r="S630"/>
  <c r="R630"/>
  <c r="Q630"/>
  <c r="P630"/>
  <c r="O630"/>
  <c r="N630"/>
  <c r="M630"/>
  <c r="L630"/>
  <c r="K630"/>
  <c r="J630"/>
  <c r="I630"/>
  <c r="H630"/>
  <c r="G630"/>
  <c r="F630"/>
  <c r="E630"/>
  <c r="D630"/>
  <c r="C630"/>
  <c r="B630"/>
  <c r="A630"/>
  <c r="CJ629"/>
  <c r="CI629"/>
  <c r="CH629"/>
  <c r="CG629"/>
  <c r="CF629"/>
  <c r="CE629"/>
  <c r="CD629"/>
  <c r="CC629"/>
  <c r="CB629"/>
  <c r="CA629"/>
  <c r="BZ629"/>
  <c r="BY629"/>
  <c r="BX629"/>
  <c r="BW629"/>
  <c r="BV629"/>
  <c r="BU629"/>
  <c r="BT629"/>
  <c r="BS629"/>
  <c r="BR629"/>
  <c r="BQ629"/>
  <c r="BP629"/>
  <c r="BO629"/>
  <c r="BN629"/>
  <c r="BM629"/>
  <c r="BL629"/>
  <c r="BK629"/>
  <c r="BJ629"/>
  <c r="BI629"/>
  <c r="BH629"/>
  <c r="BG629"/>
  <c r="BF629"/>
  <c r="BE629"/>
  <c r="BD629"/>
  <c r="BC629"/>
  <c r="BB629"/>
  <c r="BA629"/>
  <c r="AZ629"/>
  <c r="AY629"/>
  <c r="AX629"/>
  <c r="AW629"/>
  <c r="AV629"/>
  <c r="AU629"/>
  <c r="AT629"/>
  <c r="AS629"/>
  <c r="AR629"/>
  <c r="AQ629"/>
  <c r="AP629"/>
  <c r="AO629"/>
  <c r="AN629"/>
  <c r="AM629"/>
  <c r="AL629"/>
  <c r="AK629"/>
  <c r="AJ629"/>
  <c r="AI629"/>
  <c r="AH629"/>
  <c r="AG629"/>
  <c r="AF629"/>
  <c r="AE629"/>
  <c r="AD629"/>
  <c r="AC629"/>
  <c r="AB629"/>
  <c r="AA629"/>
  <c r="Z629"/>
  <c r="Y629"/>
  <c r="X629"/>
  <c r="W629"/>
  <c r="V629"/>
  <c r="U629"/>
  <c r="T629"/>
  <c r="S629"/>
  <c r="R629"/>
  <c r="Q629"/>
  <c r="P629"/>
  <c r="O629"/>
  <c r="N629"/>
  <c r="M629"/>
  <c r="L629"/>
  <c r="K629"/>
  <c r="J629"/>
  <c r="I629"/>
  <c r="H629"/>
  <c r="G629"/>
  <c r="F629"/>
  <c r="E629"/>
  <c r="D629"/>
  <c r="C629"/>
  <c r="B629"/>
  <c r="A629"/>
  <c r="CJ628"/>
  <c r="CI628"/>
  <c r="CH628"/>
  <c r="CG628"/>
  <c r="CF628"/>
  <c r="CE628"/>
  <c r="CD628"/>
  <c r="CC628"/>
  <c r="CB628"/>
  <c r="CA628"/>
  <c r="BZ628"/>
  <c r="BY628"/>
  <c r="BX628"/>
  <c r="BW628"/>
  <c r="BV628"/>
  <c r="BU628"/>
  <c r="BT628"/>
  <c r="BS628"/>
  <c r="BR628"/>
  <c r="BQ628"/>
  <c r="BP628"/>
  <c r="BO628"/>
  <c r="BN628"/>
  <c r="BM628"/>
  <c r="BL628"/>
  <c r="BK628"/>
  <c r="BJ628"/>
  <c r="BI628"/>
  <c r="BH628"/>
  <c r="BG628"/>
  <c r="BF628"/>
  <c r="BE628"/>
  <c r="BD628"/>
  <c r="BC628"/>
  <c r="BB628"/>
  <c r="BA628"/>
  <c r="AZ628"/>
  <c r="AY628"/>
  <c r="AX628"/>
  <c r="AW628"/>
  <c r="AV628"/>
  <c r="AU628"/>
  <c r="AT628"/>
  <c r="AS628"/>
  <c r="AR628"/>
  <c r="AQ628"/>
  <c r="AP628"/>
  <c r="AO628"/>
  <c r="AN628"/>
  <c r="AM628"/>
  <c r="AL628"/>
  <c r="AK628"/>
  <c r="AJ628"/>
  <c r="AI628"/>
  <c r="AH628"/>
  <c r="AG628"/>
  <c r="AF628"/>
  <c r="AE628"/>
  <c r="AD628"/>
  <c r="AC628"/>
  <c r="AB628"/>
  <c r="AA628"/>
  <c r="Z628"/>
  <c r="Y628"/>
  <c r="X628"/>
  <c r="W628"/>
  <c r="V628"/>
  <c r="U628"/>
  <c r="T628"/>
  <c r="S628"/>
  <c r="R628"/>
  <c r="Q628"/>
  <c r="P628"/>
  <c r="O628"/>
  <c r="N628"/>
  <c r="M628"/>
  <c r="L628"/>
  <c r="K628"/>
  <c r="J628"/>
  <c r="I628"/>
  <c r="H628"/>
  <c r="G628"/>
  <c r="F628"/>
  <c r="E628"/>
  <c r="D628"/>
  <c r="C628"/>
  <c r="B628"/>
  <c r="A628"/>
  <c r="CJ627"/>
  <c r="CI627"/>
  <c r="CH627"/>
  <c r="CG627"/>
  <c r="CF627"/>
  <c r="CE627"/>
  <c r="CD627"/>
  <c r="CC627"/>
  <c r="CB627"/>
  <c r="CA627"/>
  <c r="BZ627"/>
  <c r="BY627"/>
  <c r="BX627"/>
  <c r="BW627"/>
  <c r="BV627"/>
  <c r="BU627"/>
  <c r="BT627"/>
  <c r="BS627"/>
  <c r="BR627"/>
  <c r="BQ627"/>
  <c r="BP627"/>
  <c r="BO627"/>
  <c r="BN627"/>
  <c r="BM627"/>
  <c r="BL627"/>
  <c r="BK627"/>
  <c r="BJ627"/>
  <c r="BI627"/>
  <c r="BH627"/>
  <c r="BG627"/>
  <c r="BF627"/>
  <c r="BE627"/>
  <c r="BD627"/>
  <c r="BC627"/>
  <c r="BB627"/>
  <c r="BA627"/>
  <c r="AZ627"/>
  <c r="AY627"/>
  <c r="AX627"/>
  <c r="AW627"/>
  <c r="AV627"/>
  <c r="AU627"/>
  <c r="AT627"/>
  <c r="AS627"/>
  <c r="AR627"/>
  <c r="AQ627"/>
  <c r="AP627"/>
  <c r="AO627"/>
  <c r="AN627"/>
  <c r="AM627"/>
  <c r="AL627"/>
  <c r="AK627"/>
  <c r="AJ627"/>
  <c r="AI627"/>
  <c r="AH627"/>
  <c r="AG627"/>
  <c r="AF627"/>
  <c r="AE627"/>
  <c r="AD627"/>
  <c r="AC627"/>
  <c r="AB627"/>
  <c r="AA627"/>
  <c r="Z627"/>
  <c r="Y627"/>
  <c r="X627"/>
  <c r="W627"/>
  <c r="V627"/>
  <c r="U627"/>
  <c r="T627"/>
  <c r="S627"/>
  <c r="R627"/>
  <c r="Q627"/>
  <c r="P627"/>
  <c r="O627"/>
  <c r="N627"/>
  <c r="M627"/>
  <c r="L627"/>
  <c r="K627"/>
  <c r="J627"/>
  <c r="I627"/>
  <c r="H627"/>
  <c r="G627"/>
  <c r="F627"/>
  <c r="E627"/>
  <c r="D627"/>
  <c r="C627"/>
  <c r="B627"/>
  <c r="A627"/>
  <c r="CJ626"/>
  <c r="CI626"/>
  <c r="CH626"/>
  <c r="CG626"/>
  <c r="CF626"/>
  <c r="CE626"/>
  <c r="CD626"/>
  <c r="CC626"/>
  <c r="CB626"/>
  <c r="CA626"/>
  <c r="BZ626"/>
  <c r="BY626"/>
  <c r="BX626"/>
  <c r="BW626"/>
  <c r="BV626"/>
  <c r="BU626"/>
  <c r="BT626"/>
  <c r="BS626"/>
  <c r="BR626"/>
  <c r="BQ626"/>
  <c r="BP626"/>
  <c r="BO626"/>
  <c r="BN626"/>
  <c r="BM626"/>
  <c r="BL626"/>
  <c r="BK626"/>
  <c r="BJ626"/>
  <c r="BI626"/>
  <c r="BH626"/>
  <c r="BG626"/>
  <c r="BF626"/>
  <c r="BE626"/>
  <c r="BD626"/>
  <c r="BC626"/>
  <c r="BB626"/>
  <c r="BA626"/>
  <c r="AZ626"/>
  <c r="AY626"/>
  <c r="AX626"/>
  <c r="AW626"/>
  <c r="AV626"/>
  <c r="AU626"/>
  <c r="AT626"/>
  <c r="AS626"/>
  <c r="AR626"/>
  <c r="AQ626"/>
  <c r="AP626"/>
  <c r="AO626"/>
  <c r="AN626"/>
  <c r="AM626"/>
  <c r="AL626"/>
  <c r="AK626"/>
  <c r="AJ626"/>
  <c r="AI626"/>
  <c r="AH626"/>
  <c r="AG626"/>
  <c r="AF626"/>
  <c r="AE626"/>
  <c r="AD626"/>
  <c r="AC626"/>
  <c r="AB626"/>
  <c r="AA626"/>
  <c r="Z626"/>
  <c r="Y626"/>
  <c r="X626"/>
  <c r="W626"/>
  <c r="V626"/>
  <c r="U626"/>
  <c r="T626"/>
  <c r="S626"/>
  <c r="R626"/>
  <c r="Q626"/>
  <c r="P626"/>
  <c r="O626"/>
  <c r="N626"/>
  <c r="M626"/>
  <c r="L626"/>
  <c r="K626"/>
  <c r="J626"/>
  <c r="I626"/>
  <c r="H626"/>
  <c r="G626"/>
  <c r="F626"/>
  <c r="E626"/>
  <c r="D626"/>
  <c r="C626"/>
  <c r="B626"/>
  <c r="A626"/>
  <c r="CJ625"/>
  <c r="CI625"/>
  <c r="CH625"/>
  <c r="CG625"/>
  <c r="CF625"/>
  <c r="CE625"/>
  <c r="CD625"/>
  <c r="CC625"/>
  <c r="CB625"/>
  <c r="CA625"/>
  <c r="BZ625"/>
  <c r="BY625"/>
  <c r="BX625"/>
  <c r="BW625"/>
  <c r="BV625"/>
  <c r="BU625"/>
  <c r="BT625"/>
  <c r="BS625"/>
  <c r="BR625"/>
  <c r="BQ625"/>
  <c r="BP625"/>
  <c r="BO625"/>
  <c r="BN625"/>
  <c r="BM625"/>
  <c r="BL625"/>
  <c r="BK625"/>
  <c r="BJ625"/>
  <c r="BI625"/>
  <c r="BH625"/>
  <c r="BG625"/>
  <c r="BF625"/>
  <c r="BE625"/>
  <c r="BD625"/>
  <c r="BC625"/>
  <c r="BB625"/>
  <c r="BA625"/>
  <c r="AZ625"/>
  <c r="AY625"/>
  <c r="AX625"/>
  <c r="AW625"/>
  <c r="AV625"/>
  <c r="AU625"/>
  <c r="AT625"/>
  <c r="AS625"/>
  <c r="AR625"/>
  <c r="AQ625"/>
  <c r="AP625"/>
  <c r="AO625"/>
  <c r="AN625"/>
  <c r="AM625"/>
  <c r="AL625"/>
  <c r="AK625"/>
  <c r="AJ625"/>
  <c r="AI625"/>
  <c r="AH625"/>
  <c r="AG625"/>
  <c r="AF625"/>
  <c r="AE625"/>
  <c r="AD625"/>
  <c r="AC625"/>
  <c r="AB625"/>
  <c r="AA625"/>
  <c r="Z625"/>
  <c r="Y625"/>
  <c r="X625"/>
  <c r="W625"/>
  <c r="V625"/>
  <c r="U625"/>
  <c r="T625"/>
  <c r="S625"/>
  <c r="R625"/>
  <c r="Q625"/>
  <c r="P625"/>
  <c r="O625"/>
  <c r="N625"/>
  <c r="M625"/>
  <c r="L625"/>
  <c r="K625"/>
  <c r="J625"/>
  <c r="I625"/>
  <c r="H625"/>
  <c r="G625"/>
  <c r="F625"/>
  <c r="E625"/>
  <c r="D625"/>
  <c r="C625"/>
  <c r="B625"/>
  <c r="A625"/>
  <c r="CJ624"/>
  <c r="CI624"/>
  <c r="CH624"/>
  <c r="CG624"/>
  <c r="CF624"/>
  <c r="CE624"/>
  <c r="CD624"/>
  <c r="CC624"/>
  <c r="CB624"/>
  <c r="CA624"/>
  <c r="BZ624"/>
  <c r="BY624"/>
  <c r="BX624"/>
  <c r="BW624"/>
  <c r="BV624"/>
  <c r="BU624"/>
  <c r="BT624"/>
  <c r="BS624"/>
  <c r="BR624"/>
  <c r="BQ624"/>
  <c r="BP624"/>
  <c r="BO624"/>
  <c r="BN624"/>
  <c r="BM624"/>
  <c r="BL624"/>
  <c r="BK624"/>
  <c r="BJ624"/>
  <c r="BI624"/>
  <c r="BH624"/>
  <c r="BG624"/>
  <c r="BF624"/>
  <c r="BE624"/>
  <c r="BD624"/>
  <c r="BC624"/>
  <c r="BB624"/>
  <c r="BA624"/>
  <c r="AZ624"/>
  <c r="AY624"/>
  <c r="AX624"/>
  <c r="AW624"/>
  <c r="AV624"/>
  <c r="AU624"/>
  <c r="AT624"/>
  <c r="AS624"/>
  <c r="AR624"/>
  <c r="AQ624"/>
  <c r="AP624"/>
  <c r="AO624"/>
  <c r="AN624"/>
  <c r="AM624"/>
  <c r="AL624"/>
  <c r="AK624"/>
  <c r="AJ624"/>
  <c r="AI624"/>
  <c r="AH624"/>
  <c r="AG624"/>
  <c r="AF624"/>
  <c r="AE624"/>
  <c r="AD624"/>
  <c r="AC624"/>
  <c r="AB624"/>
  <c r="AA624"/>
  <c r="Z624"/>
  <c r="Y624"/>
  <c r="X624"/>
  <c r="W624"/>
  <c r="V624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D624"/>
  <c r="C624"/>
  <c r="B624"/>
  <c r="A624"/>
  <c r="CJ623"/>
  <c r="CI623"/>
  <c r="CH623"/>
  <c r="CG623"/>
  <c r="CF623"/>
  <c r="CE623"/>
  <c r="CD623"/>
  <c r="CC623"/>
  <c r="CB623"/>
  <c r="CA623"/>
  <c r="BZ623"/>
  <c r="BY623"/>
  <c r="BX623"/>
  <c r="BW623"/>
  <c r="BV623"/>
  <c r="BU623"/>
  <c r="BT623"/>
  <c r="BS623"/>
  <c r="BR623"/>
  <c r="BQ623"/>
  <c r="BP623"/>
  <c r="BO623"/>
  <c r="BN623"/>
  <c r="BM623"/>
  <c r="BL623"/>
  <c r="BK623"/>
  <c r="BJ623"/>
  <c r="BI623"/>
  <c r="BH623"/>
  <c r="BG623"/>
  <c r="BF623"/>
  <c r="BE623"/>
  <c r="BD623"/>
  <c r="BC623"/>
  <c r="BB623"/>
  <c r="BA623"/>
  <c r="AZ623"/>
  <c r="AY623"/>
  <c r="AX623"/>
  <c r="AW623"/>
  <c r="AV623"/>
  <c r="AU623"/>
  <c r="AT623"/>
  <c r="AS623"/>
  <c r="AR623"/>
  <c r="AQ623"/>
  <c r="AP623"/>
  <c r="AO623"/>
  <c r="AN623"/>
  <c r="AM623"/>
  <c r="AL623"/>
  <c r="AK623"/>
  <c r="AJ623"/>
  <c r="AI623"/>
  <c r="AH623"/>
  <c r="AG623"/>
  <c r="AF623"/>
  <c r="AE623"/>
  <c r="AD623"/>
  <c r="AC623"/>
  <c r="AB623"/>
  <c r="AA623"/>
  <c r="Z623"/>
  <c r="Y623"/>
  <c r="X623"/>
  <c r="W623"/>
  <c r="V623"/>
  <c r="U623"/>
  <c r="T623"/>
  <c r="S623"/>
  <c r="R623"/>
  <c r="Q623"/>
  <c r="P623"/>
  <c r="O623"/>
  <c r="N623"/>
  <c r="M623"/>
  <c r="L623"/>
  <c r="K623"/>
  <c r="J623"/>
  <c r="I623"/>
  <c r="H623"/>
  <c r="G623"/>
  <c r="F623"/>
  <c r="E623"/>
  <c r="D623"/>
  <c r="C623"/>
  <c r="B623"/>
  <c r="A623"/>
  <c r="CJ622"/>
  <c r="CI622"/>
  <c r="CH622"/>
  <c r="CG622"/>
  <c r="CF622"/>
  <c r="CE622"/>
  <c r="CD622"/>
  <c r="CC622"/>
  <c r="CB622"/>
  <c r="CA622"/>
  <c r="BZ622"/>
  <c r="BY622"/>
  <c r="BX622"/>
  <c r="BW622"/>
  <c r="BV622"/>
  <c r="BU622"/>
  <c r="BT622"/>
  <c r="BS622"/>
  <c r="BR622"/>
  <c r="BQ622"/>
  <c r="BP622"/>
  <c r="BO622"/>
  <c r="BN622"/>
  <c r="BM622"/>
  <c r="BL622"/>
  <c r="BK622"/>
  <c r="BJ622"/>
  <c r="BI622"/>
  <c r="BH622"/>
  <c r="BG622"/>
  <c r="BF622"/>
  <c r="BE622"/>
  <c r="BD622"/>
  <c r="BC622"/>
  <c r="BB622"/>
  <c r="BA622"/>
  <c r="AZ622"/>
  <c r="AY622"/>
  <c r="AX622"/>
  <c r="AW622"/>
  <c r="AV622"/>
  <c r="AU622"/>
  <c r="AT622"/>
  <c r="AS622"/>
  <c r="AR622"/>
  <c r="AQ622"/>
  <c r="AP622"/>
  <c r="AO622"/>
  <c r="AN622"/>
  <c r="AM622"/>
  <c r="AL622"/>
  <c r="AK622"/>
  <c r="AJ622"/>
  <c r="AI622"/>
  <c r="AH622"/>
  <c r="AG622"/>
  <c r="AF622"/>
  <c r="AE622"/>
  <c r="AD622"/>
  <c r="AC622"/>
  <c r="AB622"/>
  <c r="AA622"/>
  <c r="Z622"/>
  <c r="Y622"/>
  <c r="X622"/>
  <c r="W622"/>
  <c r="V622"/>
  <c r="U622"/>
  <c r="T622"/>
  <c r="S622"/>
  <c r="R622"/>
  <c r="Q622"/>
  <c r="P622"/>
  <c r="O622"/>
  <c r="N622"/>
  <c r="M622"/>
  <c r="L622"/>
  <c r="K622"/>
  <c r="J622"/>
  <c r="I622"/>
  <c r="H622"/>
  <c r="G622"/>
  <c r="F622"/>
  <c r="E622"/>
  <c r="D622"/>
  <c r="C622"/>
  <c r="B622"/>
  <c r="A622"/>
  <c r="CJ621"/>
  <c r="CI621"/>
  <c r="CH621"/>
  <c r="CG621"/>
  <c r="CF621"/>
  <c r="CE621"/>
  <c r="CD621"/>
  <c r="CC621"/>
  <c r="CB621"/>
  <c r="CA621"/>
  <c r="BZ621"/>
  <c r="BY621"/>
  <c r="BX621"/>
  <c r="BW621"/>
  <c r="BV621"/>
  <c r="BU621"/>
  <c r="BT621"/>
  <c r="BS621"/>
  <c r="BR621"/>
  <c r="BQ621"/>
  <c r="BP621"/>
  <c r="BO621"/>
  <c r="BN621"/>
  <c r="BM621"/>
  <c r="BL621"/>
  <c r="BK621"/>
  <c r="BJ621"/>
  <c r="BI621"/>
  <c r="BH621"/>
  <c r="BG621"/>
  <c r="BF621"/>
  <c r="BE621"/>
  <c r="BD621"/>
  <c r="BC621"/>
  <c r="BB621"/>
  <c r="BA621"/>
  <c r="AZ621"/>
  <c r="AY621"/>
  <c r="AX621"/>
  <c r="AW621"/>
  <c r="AV621"/>
  <c r="AU621"/>
  <c r="AT621"/>
  <c r="AS621"/>
  <c r="AR621"/>
  <c r="AQ621"/>
  <c r="AP621"/>
  <c r="AO621"/>
  <c r="AN621"/>
  <c r="AM621"/>
  <c r="AL621"/>
  <c r="AK621"/>
  <c r="AJ621"/>
  <c r="AI621"/>
  <c r="AH621"/>
  <c r="AG621"/>
  <c r="AF621"/>
  <c r="AE621"/>
  <c r="AD621"/>
  <c r="AC621"/>
  <c r="AB621"/>
  <c r="AA621"/>
  <c r="Z621"/>
  <c r="Y621"/>
  <c r="X621"/>
  <c r="W621"/>
  <c r="V621"/>
  <c r="U621"/>
  <c r="T621"/>
  <c r="S621"/>
  <c r="R621"/>
  <c r="Q621"/>
  <c r="P621"/>
  <c r="O621"/>
  <c r="N621"/>
  <c r="M621"/>
  <c r="L621"/>
  <c r="K621"/>
  <c r="J621"/>
  <c r="I621"/>
  <c r="H621"/>
  <c r="G621"/>
  <c r="F621"/>
  <c r="E621"/>
  <c r="D621"/>
  <c r="C621"/>
  <c r="B621"/>
  <c r="A621"/>
  <c r="CJ620"/>
  <c r="CI620"/>
  <c r="CH620"/>
  <c r="CG620"/>
  <c r="CF620"/>
  <c r="CE620"/>
  <c r="CD620"/>
  <c r="CC620"/>
  <c r="CB620"/>
  <c r="CA620"/>
  <c r="BZ620"/>
  <c r="BY620"/>
  <c r="BX620"/>
  <c r="BW620"/>
  <c r="BV620"/>
  <c r="BU620"/>
  <c r="BT620"/>
  <c r="BS620"/>
  <c r="BR620"/>
  <c r="BQ620"/>
  <c r="BP620"/>
  <c r="BO620"/>
  <c r="BN620"/>
  <c r="BM620"/>
  <c r="BL620"/>
  <c r="BK620"/>
  <c r="BJ620"/>
  <c r="BI620"/>
  <c r="BH620"/>
  <c r="BG620"/>
  <c r="BF620"/>
  <c r="BE620"/>
  <c r="BD620"/>
  <c r="BC620"/>
  <c r="BB620"/>
  <c r="BA620"/>
  <c r="AZ620"/>
  <c r="AY620"/>
  <c r="AX620"/>
  <c r="AW620"/>
  <c r="AV620"/>
  <c r="AU620"/>
  <c r="AT620"/>
  <c r="AS620"/>
  <c r="AR620"/>
  <c r="AQ620"/>
  <c r="AP620"/>
  <c r="AO620"/>
  <c r="AN620"/>
  <c r="AM620"/>
  <c r="AL620"/>
  <c r="AK620"/>
  <c r="AJ620"/>
  <c r="AI620"/>
  <c r="AH620"/>
  <c r="AG620"/>
  <c r="AF620"/>
  <c r="AE620"/>
  <c r="AD620"/>
  <c r="AC620"/>
  <c r="AB620"/>
  <c r="AA620"/>
  <c r="Z620"/>
  <c r="Y620"/>
  <c r="X620"/>
  <c r="W620"/>
  <c r="V620"/>
  <c r="U620"/>
  <c r="T620"/>
  <c r="S620"/>
  <c r="R620"/>
  <c r="Q620"/>
  <c r="P620"/>
  <c r="O620"/>
  <c r="N620"/>
  <c r="M620"/>
  <c r="L620"/>
  <c r="K620"/>
  <c r="J620"/>
  <c r="I620"/>
  <c r="H620"/>
  <c r="G620"/>
  <c r="F620"/>
  <c r="E620"/>
  <c r="D620"/>
  <c r="C620"/>
  <c r="B620"/>
  <c r="A620"/>
  <c r="CJ619"/>
  <c r="CI619"/>
  <c r="CH619"/>
  <c r="CG619"/>
  <c r="CF619"/>
  <c r="CE619"/>
  <c r="CD619"/>
  <c r="CC619"/>
  <c r="CB619"/>
  <c r="CA619"/>
  <c r="BZ619"/>
  <c r="BY619"/>
  <c r="BX619"/>
  <c r="BW619"/>
  <c r="BV619"/>
  <c r="BU619"/>
  <c r="BT619"/>
  <c r="BS619"/>
  <c r="BR619"/>
  <c r="BQ619"/>
  <c r="BP619"/>
  <c r="BO619"/>
  <c r="BN619"/>
  <c r="BM619"/>
  <c r="BL619"/>
  <c r="BK619"/>
  <c r="BJ619"/>
  <c r="BI619"/>
  <c r="BH619"/>
  <c r="BG619"/>
  <c r="BF619"/>
  <c r="BE619"/>
  <c r="BD619"/>
  <c r="BC619"/>
  <c r="BB619"/>
  <c r="BA619"/>
  <c r="AZ619"/>
  <c r="AY619"/>
  <c r="AX619"/>
  <c r="AW619"/>
  <c r="AV619"/>
  <c r="AU619"/>
  <c r="AT619"/>
  <c r="AS619"/>
  <c r="AR619"/>
  <c r="AQ619"/>
  <c r="AP619"/>
  <c r="AO619"/>
  <c r="AN619"/>
  <c r="AM619"/>
  <c r="AL619"/>
  <c r="AK619"/>
  <c r="AJ619"/>
  <c r="AI619"/>
  <c r="AH619"/>
  <c r="AG619"/>
  <c r="AF619"/>
  <c r="AE619"/>
  <c r="AD619"/>
  <c r="AC619"/>
  <c r="AB619"/>
  <c r="AA619"/>
  <c r="Z619"/>
  <c r="Y619"/>
  <c r="X619"/>
  <c r="W619"/>
  <c r="V619"/>
  <c r="U619"/>
  <c r="T619"/>
  <c r="S619"/>
  <c r="R619"/>
  <c r="Q619"/>
  <c r="P619"/>
  <c r="O619"/>
  <c r="N619"/>
  <c r="M619"/>
  <c r="L619"/>
  <c r="K619"/>
  <c r="J619"/>
  <c r="I619"/>
  <c r="H619"/>
  <c r="G619"/>
  <c r="F619"/>
  <c r="E619"/>
  <c r="D619"/>
  <c r="C619"/>
  <c r="B619"/>
  <c r="A619"/>
  <c r="CJ618"/>
  <c r="CI618"/>
  <c r="CH618"/>
  <c r="CG618"/>
  <c r="CF618"/>
  <c r="CE618"/>
  <c r="CD618"/>
  <c r="CC618"/>
  <c r="CB618"/>
  <c r="CA618"/>
  <c r="BZ618"/>
  <c r="BY618"/>
  <c r="BX618"/>
  <c r="BW618"/>
  <c r="BV618"/>
  <c r="BU618"/>
  <c r="BT618"/>
  <c r="BS618"/>
  <c r="BR618"/>
  <c r="BQ618"/>
  <c r="BP618"/>
  <c r="BO618"/>
  <c r="BN618"/>
  <c r="BM618"/>
  <c r="BL618"/>
  <c r="BK618"/>
  <c r="BJ618"/>
  <c r="BI618"/>
  <c r="BH618"/>
  <c r="BG618"/>
  <c r="BF618"/>
  <c r="BE618"/>
  <c r="BD618"/>
  <c r="BC618"/>
  <c r="BB618"/>
  <c r="BA618"/>
  <c r="AZ618"/>
  <c r="AY618"/>
  <c r="AX618"/>
  <c r="AW618"/>
  <c r="AV618"/>
  <c r="AU618"/>
  <c r="AT618"/>
  <c r="AS618"/>
  <c r="AR618"/>
  <c r="AQ618"/>
  <c r="AP618"/>
  <c r="AO618"/>
  <c r="AN618"/>
  <c r="AM618"/>
  <c r="AL618"/>
  <c r="AK618"/>
  <c r="AJ618"/>
  <c r="AI618"/>
  <c r="AH618"/>
  <c r="AG618"/>
  <c r="AF618"/>
  <c r="AE618"/>
  <c r="AD618"/>
  <c r="AC618"/>
  <c r="AB618"/>
  <c r="AA618"/>
  <c r="Z618"/>
  <c r="Y618"/>
  <c r="X618"/>
  <c r="W618"/>
  <c r="V618"/>
  <c r="U618"/>
  <c r="T618"/>
  <c r="S618"/>
  <c r="R618"/>
  <c r="Q618"/>
  <c r="P618"/>
  <c r="O618"/>
  <c r="N618"/>
  <c r="M618"/>
  <c r="L618"/>
  <c r="K618"/>
  <c r="J618"/>
  <c r="I618"/>
  <c r="H618"/>
  <c r="G618"/>
  <c r="F618"/>
  <c r="E618"/>
  <c r="D618"/>
  <c r="C618"/>
  <c r="B618"/>
  <c r="A618"/>
  <c r="CJ617"/>
  <c r="CI617"/>
  <c r="CH617"/>
  <c r="CG617"/>
  <c r="CF617"/>
  <c r="CE617"/>
  <c r="CD617"/>
  <c r="CC617"/>
  <c r="CB617"/>
  <c r="CA617"/>
  <c r="BZ617"/>
  <c r="BY617"/>
  <c r="BX617"/>
  <c r="BW617"/>
  <c r="BV617"/>
  <c r="BU617"/>
  <c r="BT617"/>
  <c r="BS617"/>
  <c r="BR617"/>
  <c r="BQ617"/>
  <c r="BP617"/>
  <c r="BO617"/>
  <c r="BN617"/>
  <c r="BM617"/>
  <c r="BL617"/>
  <c r="BK617"/>
  <c r="BJ617"/>
  <c r="BI617"/>
  <c r="BH617"/>
  <c r="BG617"/>
  <c r="BF617"/>
  <c r="BE617"/>
  <c r="BD617"/>
  <c r="BC617"/>
  <c r="BB617"/>
  <c r="BA617"/>
  <c r="AZ617"/>
  <c r="AY617"/>
  <c r="AX617"/>
  <c r="AW617"/>
  <c r="AV617"/>
  <c r="AU617"/>
  <c r="AT617"/>
  <c r="AS617"/>
  <c r="AR617"/>
  <c r="AQ617"/>
  <c r="AP617"/>
  <c r="AO617"/>
  <c r="AN617"/>
  <c r="AM617"/>
  <c r="AL617"/>
  <c r="AK617"/>
  <c r="AJ617"/>
  <c r="AI617"/>
  <c r="AH617"/>
  <c r="AG617"/>
  <c r="AF617"/>
  <c r="AE617"/>
  <c r="AD617"/>
  <c r="AC617"/>
  <c r="AB617"/>
  <c r="AA617"/>
  <c r="Z617"/>
  <c r="Y617"/>
  <c r="X617"/>
  <c r="W617"/>
  <c r="V617"/>
  <c r="U617"/>
  <c r="T617"/>
  <c r="S617"/>
  <c r="R617"/>
  <c r="Q617"/>
  <c r="P617"/>
  <c r="O617"/>
  <c r="N617"/>
  <c r="M617"/>
  <c r="L617"/>
  <c r="K617"/>
  <c r="J617"/>
  <c r="I617"/>
  <c r="H617"/>
  <c r="G617"/>
  <c r="F617"/>
  <c r="E617"/>
  <c r="D617"/>
  <c r="C617"/>
  <c r="B617"/>
  <c r="A617"/>
  <c r="CJ616"/>
  <c r="CI616"/>
  <c r="CH616"/>
  <c r="CG616"/>
  <c r="CF616"/>
  <c r="CE616"/>
  <c r="CD616"/>
  <c r="CC616"/>
  <c r="CB616"/>
  <c r="CA616"/>
  <c r="BZ616"/>
  <c r="BY616"/>
  <c r="BX616"/>
  <c r="BW616"/>
  <c r="BV616"/>
  <c r="BU616"/>
  <c r="BT616"/>
  <c r="BS616"/>
  <c r="BR616"/>
  <c r="BQ616"/>
  <c r="BP616"/>
  <c r="BO616"/>
  <c r="BN616"/>
  <c r="BM616"/>
  <c r="BL616"/>
  <c r="BK616"/>
  <c r="BJ616"/>
  <c r="BI616"/>
  <c r="BH616"/>
  <c r="BG616"/>
  <c r="BF616"/>
  <c r="BE616"/>
  <c r="BD616"/>
  <c r="BC616"/>
  <c r="BB616"/>
  <c r="BA616"/>
  <c r="AZ616"/>
  <c r="AY616"/>
  <c r="AX616"/>
  <c r="AW616"/>
  <c r="AV616"/>
  <c r="AU616"/>
  <c r="AT616"/>
  <c r="AS616"/>
  <c r="AR616"/>
  <c r="AQ616"/>
  <c r="AP616"/>
  <c r="AO616"/>
  <c r="AN616"/>
  <c r="AM616"/>
  <c r="AL616"/>
  <c r="AK616"/>
  <c r="AJ616"/>
  <c r="AI616"/>
  <c r="AH616"/>
  <c r="AG616"/>
  <c r="AF616"/>
  <c r="AE616"/>
  <c r="AD616"/>
  <c r="AC616"/>
  <c r="AB616"/>
  <c r="AA616"/>
  <c r="Z616"/>
  <c r="Y616"/>
  <c r="X616"/>
  <c r="W616"/>
  <c r="V616"/>
  <c r="U616"/>
  <c r="T616"/>
  <c r="S616"/>
  <c r="R616"/>
  <c r="Q616"/>
  <c r="P616"/>
  <c r="O616"/>
  <c r="N616"/>
  <c r="M616"/>
  <c r="L616"/>
  <c r="K616"/>
  <c r="J616"/>
  <c r="I616"/>
  <c r="H616"/>
  <c r="G616"/>
  <c r="F616"/>
  <c r="E616"/>
  <c r="D616"/>
  <c r="C616"/>
  <c r="B616"/>
  <c r="A616"/>
  <c r="CJ615"/>
  <c r="CI615"/>
  <c r="CH615"/>
  <c r="CG615"/>
  <c r="CF615"/>
  <c r="CE615"/>
  <c r="CD615"/>
  <c r="CC615"/>
  <c r="CB615"/>
  <c r="CA615"/>
  <c r="BZ615"/>
  <c r="BY615"/>
  <c r="BX615"/>
  <c r="BW615"/>
  <c r="BV615"/>
  <c r="BU615"/>
  <c r="BT615"/>
  <c r="BS615"/>
  <c r="BR615"/>
  <c r="BQ615"/>
  <c r="BP615"/>
  <c r="BO615"/>
  <c r="BN615"/>
  <c r="BM615"/>
  <c r="BL615"/>
  <c r="BK615"/>
  <c r="BJ615"/>
  <c r="BI615"/>
  <c r="BH615"/>
  <c r="BG615"/>
  <c r="BF615"/>
  <c r="BE615"/>
  <c r="BD615"/>
  <c r="BC615"/>
  <c r="BB615"/>
  <c r="BA615"/>
  <c r="AZ615"/>
  <c r="AY615"/>
  <c r="AX615"/>
  <c r="AW615"/>
  <c r="AV615"/>
  <c r="AU615"/>
  <c r="AT615"/>
  <c r="AS615"/>
  <c r="AR615"/>
  <c r="AQ615"/>
  <c r="AP615"/>
  <c r="AO615"/>
  <c r="AN615"/>
  <c r="AM615"/>
  <c r="AL615"/>
  <c r="AK615"/>
  <c r="AJ615"/>
  <c r="AI615"/>
  <c r="AH615"/>
  <c r="AG615"/>
  <c r="AF615"/>
  <c r="AE615"/>
  <c r="AD615"/>
  <c r="AC615"/>
  <c r="AB615"/>
  <c r="AA615"/>
  <c r="Z615"/>
  <c r="Y615"/>
  <c r="X615"/>
  <c r="W615"/>
  <c r="V615"/>
  <c r="U615"/>
  <c r="T615"/>
  <c r="S615"/>
  <c r="R615"/>
  <c r="Q615"/>
  <c r="P615"/>
  <c r="O615"/>
  <c r="N615"/>
  <c r="M615"/>
  <c r="L615"/>
  <c r="K615"/>
  <c r="J615"/>
  <c r="I615"/>
  <c r="H615"/>
  <c r="G615"/>
  <c r="F615"/>
  <c r="E615"/>
  <c r="D615"/>
  <c r="C615"/>
  <c r="B615"/>
  <c r="A615"/>
  <c r="CJ614"/>
  <c r="CI614"/>
  <c r="CH614"/>
  <c r="CG614"/>
  <c r="CF614"/>
  <c r="CE614"/>
  <c r="CD614"/>
  <c r="CC614"/>
  <c r="CB614"/>
  <c r="CA614"/>
  <c r="BZ614"/>
  <c r="BY614"/>
  <c r="BX614"/>
  <c r="BW614"/>
  <c r="BV614"/>
  <c r="BU614"/>
  <c r="BT614"/>
  <c r="BS614"/>
  <c r="BR614"/>
  <c r="BQ614"/>
  <c r="BP614"/>
  <c r="BO614"/>
  <c r="BN614"/>
  <c r="BM614"/>
  <c r="BL614"/>
  <c r="BK614"/>
  <c r="BJ614"/>
  <c r="BI614"/>
  <c r="BH614"/>
  <c r="BG614"/>
  <c r="BF614"/>
  <c r="BE614"/>
  <c r="BD614"/>
  <c r="BC614"/>
  <c r="BB614"/>
  <c r="BA614"/>
  <c r="AZ614"/>
  <c r="AY614"/>
  <c r="AX614"/>
  <c r="AW614"/>
  <c r="AV614"/>
  <c r="AU614"/>
  <c r="AT614"/>
  <c r="AS614"/>
  <c r="AR614"/>
  <c r="AQ614"/>
  <c r="AP614"/>
  <c r="AO614"/>
  <c r="AN614"/>
  <c r="AM614"/>
  <c r="AL614"/>
  <c r="AK614"/>
  <c r="AJ614"/>
  <c r="AI614"/>
  <c r="AH614"/>
  <c r="AG614"/>
  <c r="AF614"/>
  <c r="AE614"/>
  <c r="AD614"/>
  <c r="AC614"/>
  <c r="AB614"/>
  <c r="AA614"/>
  <c r="Z614"/>
  <c r="Y614"/>
  <c r="X614"/>
  <c r="W614"/>
  <c r="V614"/>
  <c r="U614"/>
  <c r="T614"/>
  <c r="S614"/>
  <c r="R614"/>
  <c r="Q614"/>
  <c r="P614"/>
  <c r="O614"/>
  <c r="N614"/>
  <c r="M614"/>
  <c r="L614"/>
  <c r="K614"/>
  <c r="J614"/>
  <c r="I614"/>
  <c r="H614"/>
  <c r="G614"/>
  <c r="F614"/>
  <c r="E614"/>
  <c r="D614"/>
  <c r="C614"/>
  <c r="B614"/>
  <c r="A614"/>
  <c r="CJ613"/>
  <c r="CI613"/>
  <c r="CH613"/>
  <c r="CG613"/>
  <c r="CF613"/>
  <c r="CE613"/>
  <c r="CD613"/>
  <c r="CC613"/>
  <c r="CB613"/>
  <c r="CA613"/>
  <c r="BZ613"/>
  <c r="BY613"/>
  <c r="BX613"/>
  <c r="BW613"/>
  <c r="BV613"/>
  <c r="BU613"/>
  <c r="BT613"/>
  <c r="BS613"/>
  <c r="BR613"/>
  <c r="BQ613"/>
  <c r="BP613"/>
  <c r="BO613"/>
  <c r="BN613"/>
  <c r="BM613"/>
  <c r="BL613"/>
  <c r="BK613"/>
  <c r="BJ613"/>
  <c r="BI613"/>
  <c r="BH613"/>
  <c r="BG613"/>
  <c r="BF613"/>
  <c r="BE613"/>
  <c r="BD613"/>
  <c r="BC613"/>
  <c r="BB613"/>
  <c r="BA613"/>
  <c r="AZ613"/>
  <c r="AY613"/>
  <c r="AX613"/>
  <c r="AW613"/>
  <c r="AV613"/>
  <c r="AU613"/>
  <c r="AT613"/>
  <c r="AS613"/>
  <c r="AR613"/>
  <c r="AQ613"/>
  <c r="AP613"/>
  <c r="AO613"/>
  <c r="AN613"/>
  <c r="AM613"/>
  <c r="AL613"/>
  <c r="AK613"/>
  <c r="AJ613"/>
  <c r="AI613"/>
  <c r="AH613"/>
  <c r="AG613"/>
  <c r="AF613"/>
  <c r="AE613"/>
  <c r="AD613"/>
  <c r="AC613"/>
  <c r="AB613"/>
  <c r="AA613"/>
  <c r="Z613"/>
  <c r="Y613"/>
  <c r="X613"/>
  <c r="W613"/>
  <c r="V613"/>
  <c r="U613"/>
  <c r="T613"/>
  <c r="S613"/>
  <c r="R613"/>
  <c r="Q613"/>
  <c r="P613"/>
  <c r="O613"/>
  <c r="N613"/>
  <c r="M613"/>
  <c r="L613"/>
  <c r="K613"/>
  <c r="J613"/>
  <c r="I613"/>
  <c r="H613"/>
  <c r="G613"/>
  <c r="F613"/>
  <c r="E613"/>
  <c r="D613"/>
  <c r="C613"/>
  <c r="B613"/>
  <c r="A613"/>
  <c r="CJ612"/>
  <c r="CI612"/>
  <c r="CH612"/>
  <c r="CG612"/>
  <c r="CF612"/>
  <c r="CE612"/>
  <c r="CD612"/>
  <c r="CC612"/>
  <c r="CB612"/>
  <c r="CA612"/>
  <c r="BZ612"/>
  <c r="BY612"/>
  <c r="BX612"/>
  <c r="BW612"/>
  <c r="BV612"/>
  <c r="BU612"/>
  <c r="BT612"/>
  <c r="BS612"/>
  <c r="BR612"/>
  <c r="BQ612"/>
  <c r="BP612"/>
  <c r="BO612"/>
  <c r="BN612"/>
  <c r="BM612"/>
  <c r="BL612"/>
  <c r="BK612"/>
  <c r="BJ612"/>
  <c r="BI612"/>
  <c r="BH612"/>
  <c r="BG612"/>
  <c r="BF612"/>
  <c r="BE612"/>
  <c r="BD612"/>
  <c r="BC612"/>
  <c r="BB612"/>
  <c r="BA612"/>
  <c r="AZ612"/>
  <c r="AY612"/>
  <c r="AX612"/>
  <c r="AW612"/>
  <c r="AV612"/>
  <c r="AU612"/>
  <c r="AT612"/>
  <c r="AS612"/>
  <c r="AR612"/>
  <c r="AQ612"/>
  <c r="AP612"/>
  <c r="AO612"/>
  <c r="AN612"/>
  <c r="AM612"/>
  <c r="AL612"/>
  <c r="AK612"/>
  <c r="AJ612"/>
  <c r="AI612"/>
  <c r="AH612"/>
  <c r="AG612"/>
  <c r="AF612"/>
  <c r="AE612"/>
  <c r="AD612"/>
  <c r="AC612"/>
  <c r="AB612"/>
  <c r="AA612"/>
  <c r="Z612"/>
  <c r="Y612"/>
  <c r="X612"/>
  <c r="W612"/>
  <c r="V612"/>
  <c r="U612"/>
  <c r="T612"/>
  <c r="S612"/>
  <c r="R612"/>
  <c r="Q612"/>
  <c r="P612"/>
  <c r="O612"/>
  <c r="N612"/>
  <c r="M612"/>
  <c r="L612"/>
  <c r="K612"/>
  <c r="J612"/>
  <c r="I612"/>
  <c r="H612"/>
  <c r="G612"/>
  <c r="F612"/>
  <c r="E612"/>
  <c r="D612"/>
  <c r="C612"/>
  <c r="B612"/>
  <c r="A612"/>
  <c r="CJ611"/>
  <c r="CI611"/>
  <c r="CH611"/>
  <c r="CG611"/>
  <c r="CF611"/>
  <c r="CE611"/>
  <c r="CD611"/>
  <c r="CC611"/>
  <c r="CB611"/>
  <c r="CA611"/>
  <c r="BZ611"/>
  <c r="BY611"/>
  <c r="BX611"/>
  <c r="BW611"/>
  <c r="BV611"/>
  <c r="BU611"/>
  <c r="BT611"/>
  <c r="BS611"/>
  <c r="BR611"/>
  <c r="BQ611"/>
  <c r="BP611"/>
  <c r="BO611"/>
  <c r="BN611"/>
  <c r="BM611"/>
  <c r="BL611"/>
  <c r="BK611"/>
  <c r="BJ611"/>
  <c r="BI611"/>
  <c r="BH611"/>
  <c r="BG611"/>
  <c r="BF611"/>
  <c r="BE611"/>
  <c r="BD611"/>
  <c r="BC611"/>
  <c r="BB611"/>
  <c r="BA611"/>
  <c r="AZ611"/>
  <c r="AY611"/>
  <c r="AX611"/>
  <c r="AW611"/>
  <c r="AV611"/>
  <c r="AU611"/>
  <c r="AT611"/>
  <c r="AS611"/>
  <c r="AR611"/>
  <c r="AQ611"/>
  <c r="AP611"/>
  <c r="AO611"/>
  <c r="AN611"/>
  <c r="AM611"/>
  <c r="AL611"/>
  <c r="AK611"/>
  <c r="AJ611"/>
  <c r="AI611"/>
  <c r="AH611"/>
  <c r="AG611"/>
  <c r="AF611"/>
  <c r="AE611"/>
  <c r="AD611"/>
  <c r="AC611"/>
  <c r="AB611"/>
  <c r="AA611"/>
  <c r="Z611"/>
  <c r="Y611"/>
  <c r="X611"/>
  <c r="W611"/>
  <c r="V611"/>
  <c r="U611"/>
  <c r="T611"/>
  <c r="S611"/>
  <c r="R611"/>
  <c r="Q611"/>
  <c r="P611"/>
  <c r="O611"/>
  <c r="N611"/>
  <c r="M611"/>
  <c r="L611"/>
  <c r="K611"/>
  <c r="J611"/>
  <c r="I611"/>
  <c r="H611"/>
  <c r="G611"/>
  <c r="F611"/>
  <c r="E611"/>
  <c r="D611"/>
  <c r="C611"/>
  <c r="B611"/>
  <c r="A611"/>
  <c r="CJ610"/>
  <c r="CI610"/>
  <c r="CH610"/>
  <c r="CG610"/>
  <c r="CF610"/>
  <c r="CE610"/>
  <c r="CD610"/>
  <c r="CC610"/>
  <c r="CB610"/>
  <c r="CA610"/>
  <c r="BZ610"/>
  <c r="BY610"/>
  <c r="BX610"/>
  <c r="BW610"/>
  <c r="BV610"/>
  <c r="BU610"/>
  <c r="BT610"/>
  <c r="BS610"/>
  <c r="BR610"/>
  <c r="BQ610"/>
  <c r="BP610"/>
  <c r="BO610"/>
  <c r="BN610"/>
  <c r="BM610"/>
  <c r="BL610"/>
  <c r="BK610"/>
  <c r="BJ610"/>
  <c r="BI610"/>
  <c r="BH610"/>
  <c r="BG610"/>
  <c r="BF610"/>
  <c r="BE610"/>
  <c r="BD610"/>
  <c r="BC610"/>
  <c r="BB610"/>
  <c r="BA610"/>
  <c r="AZ610"/>
  <c r="AY610"/>
  <c r="AX610"/>
  <c r="AW610"/>
  <c r="AV610"/>
  <c r="AU610"/>
  <c r="AT610"/>
  <c r="AS610"/>
  <c r="AR610"/>
  <c r="AQ610"/>
  <c r="AP610"/>
  <c r="AO610"/>
  <c r="AN610"/>
  <c r="AM610"/>
  <c r="AL610"/>
  <c r="AK610"/>
  <c r="AJ610"/>
  <c r="AI610"/>
  <c r="AH610"/>
  <c r="AG610"/>
  <c r="AF610"/>
  <c r="AE610"/>
  <c r="AD610"/>
  <c r="AC610"/>
  <c r="AB610"/>
  <c r="AA610"/>
  <c r="Z610"/>
  <c r="Y610"/>
  <c r="X610"/>
  <c r="W610"/>
  <c r="V610"/>
  <c r="U610"/>
  <c r="T610"/>
  <c r="S610"/>
  <c r="R610"/>
  <c r="Q610"/>
  <c r="P610"/>
  <c r="O610"/>
  <c r="N610"/>
  <c r="M610"/>
  <c r="L610"/>
  <c r="K610"/>
  <c r="J610"/>
  <c r="I610"/>
  <c r="H610"/>
  <c r="G610"/>
  <c r="F610"/>
  <c r="E610"/>
  <c r="D610"/>
  <c r="C610"/>
  <c r="B610"/>
  <c r="A610"/>
  <c r="CJ609"/>
  <c r="CI609"/>
  <c r="CH609"/>
  <c r="CG609"/>
  <c r="CF609"/>
  <c r="CE609"/>
  <c r="CD609"/>
  <c r="CC609"/>
  <c r="CB609"/>
  <c r="CA609"/>
  <c r="BZ609"/>
  <c r="BY609"/>
  <c r="BX609"/>
  <c r="BW609"/>
  <c r="BV609"/>
  <c r="BU609"/>
  <c r="BT609"/>
  <c r="BS609"/>
  <c r="BR609"/>
  <c r="BQ609"/>
  <c r="BP609"/>
  <c r="BO609"/>
  <c r="BN609"/>
  <c r="BM609"/>
  <c r="BL609"/>
  <c r="BK609"/>
  <c r="BJ609"/>
  <c r="BI609"/>
  <c r="BH609"/>
  <c r="BG609"/>
  <c r="BF609"/>
  <c r="BE609"/>
  <c r="BD609"/>
  <c r="BC609"/>
  <c r="BB609"/>
  <c r="BA609"/>
  <c r="AZ609"/>
  <c r="AY609"/>
  <c r="AX609"/>
  <c r="AW609"/>
  <c r="AV609"/>
  <c r="AU609"/>
  <c r="AT609"/>
  <c r="AS609"/>
  <c r="AR609"/>
  <c r="AQ609"/>
  <c r="AP609"/>
  <c r="AO609"/>
  <c r="AN609"/>
  <c r="AM609"/>
  <c r="AL609"/>
  <c r="AK609"/>
  <c r="AJ609"/>
  <c r="AI609"/>
  <c r="AH609"/>
  <c r="AG609"/>
  <c r="AF609"/>
  <c r="AE609"/>
  <c r="AD609"/>
  <c r="AC609"/>
  <c r="AB609"/>
  <c r="AA609"/>
  <c r="Z609"/>
  <c r="Y609"/>
  <c r="X609"/>
  <c r="W609"/>
  <c r="V609"/>
  <c r="U609"/>
  <c r="T609"/>
  <c r="S609"/>
  <c r="R609"/>
  <c r="Q609"/>
  <c r="P609"/>
  <c r="O609"/>
  <c r="N609"/>
  <c r="M609"/>
  <c r="L609"/>
  <c r="K609"/>
  <c r="J609"/>
  <c r="I609"/>
  <c r="H609"/>
  <c r="G609"/>
  <c r="F609"/>
  <c r="E609"/>
  <c r="D609"/>
  <c r="C609"/>
  <c r="B609"/>
  <c r="A609"/>
  <c r="CJ608"/>
  <c r="CI608"/>
  <c r="CH608"/>
  <c r="CG608"/>
  <c r="CF608"/>
  <c r="CE608"/>
  <c r="CD608"/>
  <c r="CC608"/>
  <c r="CB608"/>
  <c r="CA608"/>
  <c r="BZ608"/>
  <c r="BY608"/>
  <c r="BX608"/>
  <c r="BW608"/>
  <c r="BV608"/>
  <c r="BU608"/>
  <c r="BT608"/>
  <c r="BS608"/>
  <c r="BR608"/>
  <c r="BQ608"/>
  <c r="BP608"/>
  <c r="BO608"/>
  <c r="BN608"/>
  <c r="BM608"/>
  <c r="BL608"/>
  <c r="BK608"/>
  <c r="BJ608"/>
  <c r="BI608"/>
  <c r="BH608"/>
  <c r="BG608"/>
  <c r="BF608"/>
  <c r="BE608"/>
  <c r="BD608"/>
  <c r="BC608"/>
  <c r="BB608"/>
  <c r="BA608"/>
  <c r="AZ608"/>
  <c r="AY608"/>
  <c r="AX608"/>
  <c r="AW608"/>
  <c r="AV608"/>
  <c r="AU608"/>
  <c r="AT608"/>
  <c r="AS608"/>
  <c r="AR608"/>
  <c r="AQ608"/>
  <c r="AP608"/>
  <c r="AO608"/>
  <c r="AN608"/>
  <c r="AM608"/>
  <c r="AL608"/>
  <c r="AK608"/>
  <c r="AJ608"/>
  <c r="AI608"/>
  <c r="AH608"/>
  <c r="AG608"/>
  <c r="AF608"/>
  <c r="AE608"/>
  <c r="AD608"/>
  <c r="AC608"/>
  <c r="AB608"/>
  <c r="AA608"/>
  <c r="Z608"/>
  <c r="Y608"/>
  <c r="X608"/>
  <c r="W608"/>
  <c r="V608"/>
  <c r="U608"/>
  <c r="T608"/>
  <c r="S608"/>
  <c r="R608"/>
  <c r="Q608"/>
  <c r="P608"/>
  <c r="O608"/>
  <c r="N608"/>
  <c r="M608"/>
  <c r="L608"/>
  <c r="K608"/>
  <c r="J608"/>
  <c r="I608"/>
  <c r="H608"/>
  <c r="G608"/>
  <c r="F608"/>
  <c r="E608"/>
  <c r="D608"/>
  <c r="C608"/>
  <c r="B608"/>
  <c r="A608"/>
  <c r="CJ607"/>
  <c r="CI607"/>
  <c r="CH607"/>
  <c r="CG607"/>
  <c r="CF607"/>
  <c r="CE607"/>
  <c r="CD607"/>
  <c r="CC607"/>
  <c r="CB607"/>
  <c r="CA607"/>
  <c r="BZ607"/>
  <c r="BY607"/>
  <c r="BX607"/>
  <c r="BW607"/>
  <c r="BV607"/>
  <c r="BU607"/>
  <c r="BT607"/>
  <c r="BS607"/>
  <c r="BR607"/>
  <c r="BQ607"/>
  <c r="BP607"/>
  <c r="BO607"/>
  <c r="BN607"/>
  <c r="BM607"/>
  <c r="BL607"/>
  <c r="BK607"/>
  <c r="BJ607"/>
  <c r="BI607"/>
  <c r="BH607"/>
  <c r="BG607"/>
  <c r="BF607"/>
  <c r="BE607"/>
  <c r="BD607"/>
  <c r="BC607"/>
  <c r="BB607"/>
  <c r="BA607"/>
  <c r="AZ607"/>
  <c r="AY607"/>
  <c r="AX607"/>
  <c r="AW607"/>
  <c r="AV607"/>
  <c r="AU607"/>
  <c r="AT607"/>
  <c r="AS607"/>
  <c r="AR607"/>
  <c r="AQ607"/>
  <c r="AP607"/>
  <c r="AO607"/>
  <c r="AN607"/>
  <c r="AM607"/>
  <c r="AL607"/>
  <c r="AK607"/>
  <c r="AJ607"/>
  <c r="AI607"/>
  <c r="AH607"/>
  <c r="AG607"/>
  <c r="AF607"/>
  <c r="AE607"/>
  <c r="AD607"/>
  <c r="AC607"/>
  <c r="AB607"/>
  <c r="AA607"/>
  <c r="Z607"/>
  <c r="Y607"/>
  <c r="X607"/>
  <c r="W607"/>
  <c r="V607"/>
  <c r="U607"/>
  <c r="T607"/>
  <c r="S607"/>
  <c r="R607"/>
  <c r="Q607"/>
  <c r="P607"/>
  <c r="O607"/>
  <c r="N607"/>
  <c r="M607"/>
  <c r="L607"/>
  <c r="K607"/>
  <c r="J607"/>
  <c r="I607"/>
  <c r="H607"/>
  <c r="G607"/>
  <c r="F607"/>
  <c r="E607"/>
  <c r="D607"/>
  <c r="C607"/>
  <c r="B607"/>
  <c r="A607"/>
  <c r="CJ606"/>
  <c r="CI606"/>
  <c r="CH606"/>
  <c r="CG606"/>
  <c r="CF606"/>
  <c r="CE606"/>
  <c r="CD606"/>
  <c r="CC606"/>
  <c r="CB606"/>
  <c r="CA606"/>
  <c r="BZ606"/>
  <c r="BY606"/>
  <c r="BX606"/>
  <c r="BW606"/>
  <c r="BV606"/>
  <c r="BU606"/>
  <c r="BT606"/>
  <c r="BS606"/>
  <c r="BR606"/>
  <c r="BQ606"/>
  <c r="BP606"/>
  <c r="BO606"/>
  <c r="BN606"/>
  <c r="BM606"/>
  <c r="BL606"/>
  <c r="BK606"/>
  <c r="BJ606"/>
  <c r="BI606"/>
  <c r="BH606"/>
  <c r="BG606"/>
  <c r="BF606"/>
  <c r="BE606"/>
  <c r="BD606"/>
  <c r="BC606"/>
  <c r="BB606"/>
  <c r="BA606"/>
  <c r="AZ606"/>
  <c r="AY606"/>
  <c r="AX606"/>
  <c r="AW606"/>
  <c r="AV606"/>
  <c r="AU606"/>
  <c r="AT606"/>
  <c r="AS606"/>
  <c r="AR606"/>
  <c r="AQ606"/>
  <c r="AP606"/>
  <c r="AO606"/>
  <c r="AN606"/>
  <c r="AM606"/>
  <c r="AL606"/>
  <c r="AK606"/>
  <c r="AJ606"/>
  <c r="AI606"/>
  <c r="AH606"/>
  <c r="AG606"/>
  <c r="AF606"/>
  <c r="AE606"/>
  <c r="AD606"/>
  <c r="AC606"/>
  <c r="AB606"/>
  <c r="AA606"/>
  <c r="Z606"/>
  <c r="Y606"/>
  <c r="X606"/>
  <c r="W606"/>
  <c r="V606"/>
  <c r="U606"/>
  <c r="T606"/>
  <c r="S606"/>
  <c r="R606"/>
  <c r="Q606"/>
  <c r="P606"/>
  <c r="O606"/>
  <c r="N606"/>
  <c r="M606"/>
  <c r="L606"/>
  <c r="K606"/>
  <c r="J606"/>
  <c r="I606"/>
  <c r="H606"/>
  <c r="G606"/>
  <c r="F606"/>
  <c r="E606"/>
  <c r="D606"/>
  <c r="C606"/>
  <c r="B606"/>
  <c r="A606"/>
  <c r="CJ605"/>
  <c r="CI605"/>
  <c r="CH605"/>
  <c r="CG605"/>
  <c r="CF605"/>
  <c r="CE605"/>
  <c r="CD605"/>
  <c r="CC605"/>
  <c r="CB605"/>
  <c r="CA605"/>
  <c r="BZ605"/>
  <c r="BY605"/>
  <c r="BX605"/>
  <c r="BW605"/>
  <c r="BV605"/>
  <c r="BU605"/>
  <c r="BT605"/>
  <c r="BS605"/>
  <c r="BR605"/>
  <c r="BQ605"/>
  <c r="BP605"/>
  <c r="BO605"/>
  <c r="BN605"/>
  <c r="BM605"/>
  <c r="BL605"/>
  <c r="BK605"/>
  <c r="BJ605"/>
  <c r="BI605"/>
  <c r="BH605"/>
  <c r="BG605"/>
  <c r="BF605"/>
  <c r="BE605"/>
  <c r="BD605"/>
  <c r="BC605"/>
  <c r="BB605"/>
  <c r="BA605"/>
  <c r="AZ605"/>
  <c r="AY605"/>
  <c r="AX605"/>
  <c r="AW605"/>
  <c r="AV605"/>
  <c r="AU605"/>
  <c r="AT605"/>
  <c r="AS605"/>
  <c r="AR605"/>
  <c r="AQ605"/>
  <c r="AP605"/>
  <c r="AO605"/>
  <c r="AN605"/>
  <c r="AM605"/>
  <c r="AL605"/>
  <c r="AK605"/>
  <c r="AJ605"/>
  <c r="AI605"/>
  <c r="AH605"/>
  <c r="AG605"/>
  <c r="AF605"/>
  <c r="AE605"/>
  <c r="AD605"/>
  <c r="AC605"/>
  <c r="AB605"/>
  <c r="AA605"/>
  <c r="Z605"/>
  <c r="Y605"/>
  <c r="X605"/>
  <c r="W605"/>
  <c r="V605"/>
  <c r="U605"/>
  <c r="T605"/>
  <c r="S605"/>
  <c r="R605"/>
  <c r="Q605"/>
  <c r="P605"/>
  <c r="O605"/>
  <c r="N605"/>
  <c r="M605"/>
  <c r="L605"/>
  <c r="K605"/>
  <c r="J605"/>
  <c r="I605"/>
  <c r="H605"/>
  <c r="G605"/>
  <c r="F605"/>
  <c r="E605"/>
  <c r="D605"/>
  <c r="C605"/>
  <c r="B605"/>
  <c r="A605"/>
  <c r="CJ604"/>
  <c r="CI604"/>
  <c r="CH604"/>
  <c r="CG604"/>
  <c r="CF604"/>
  <c r="CE604"/>
  <c r="CD604"/>
  <c r="CC604"/>
  <c r="CB604"/>
  <c r="CA604"/>
  <c r="BZ604"/>
  <c r="BY604"/>
  <c r="BX604"/>
  <c r="BW604"/>
  <c r="BV604"/>
  <c r="BU604"/>
  <c r="BT604"/>
  <c r="BS604"/>
  <c r="BR604"/>
  <c r="BQ604"/>
  <c r="BP604"/>
  <c r="BO604"/>
  <c r="BN604"/>
  <c r="BM604"/>
  <c r="BL604"/>
  <c r="BK604"/>
  <c r="BJ604"/>
  <c r="BI604"/>
  <c r="BH604"/>
  <c r="BG604"/>
  <c r="BF604"/>
  <c r="BE604"/>
  <c r="BD604"/>
  <c r="BC604"/>
  <c r="BB604"/>
  <c r="BA604"/>
  <c r="AZ604"/>
  <c r="AY604"/>
  <c r="AX604"/>
  <c r="AW604"/>
  <c r="AV604"/>
  <c r="AU604"/>
  <c r="AT604"/>
  <c r="AS604"/>
  <c r="AR604"/>
  <c r="AQ604"/>
  <c r="AP604"/>
  <c r="AO604"/>
  <c r="AN604"/>
  <c r="AM604"/>
  <c r="AL604"/>
  <c r="AK604"/>
  <c r="AJ604"/>
  <c r="AI604"/>
  <c r="AH604"/>
  <c r="AG604"/>
  <c r="AF604"/>
  <c r="AE604"/>
  <c r="AD604"/>
  <c r="AC604"/>
  <c r="AB604"/>
  <c r="AA604"/>
  <c r="Z604"/>
  <c r="Y604"/>
  <c r="X604"/>
  <c r="W604"/>
  <c r="V604"/>
  <c r="U604"/>
  <c r="T604"/>
  <c r="S604"/>
  <c r="R604"/>
  <c r="Q604"/>
  <c r="P604"/>
  <c r="O604"/>
  <c r="N604"/>
  <c r="M604"/>
  <c r="L604"/>
  <c r="K604"/>
  <c r="J604"/>
  <c r="I604"/>
  <c r="H604"/>
  <c r="G604"/>
  <c r="F604"/>
  <c r="E604"/>
  <c r="D604"/>
  <c r="C604"/>
  <c r="B604"/>
  <c r="A604"/>
  <c r="CJ603"/>
  <c r="CI603"/>
  <c r="CH603"/>
  <c r="CG603"/>
  <c r="CF603"/>
  <c r="CE603"/>
  <c r="CD603"/>
  <c r="CC603"/>
  <c r="CB603"/>
  <c r="CA603"/>
  <c r="BZ603"/>
  <c r="BY603"/>
  <c r="BX603"/>
  <c r="BW603"/>
  <c r="BV603"/>
  <c r="BU603"/>
  <c r="BT603"/>
  <c r="BS603"/>
  <c r="BR603"/>
  <c r="BQ603"/>
  <c r="BP603"/>
  <c r="BO603"/>
  <c r="BN603"/>
  <c r="BM603"/>
  <c r="BL603"/>
  <c r="BK603"/>
  <c r="BJ603"/>
  <c r="BI603"/>
  <c r="BH603"/>
  <c r="BG603"/>
  <c r="BF603"/>
  <c r="BE603"/>
  <c r="BD603"/>
  <c r="BC603"/>
  <c r="BB603"/>
  <c r="BA603"/>
  <c r="AZ603"/>
  <c r="AY603"/>
  <c r="AX603"/>
  <c r="AW603"/>
  <c r="AV603"/>
  <c r="AU603"/>
  <c r="AT603"/>
  <c r="AS603"/>
  <c r="AR603"/>
  <c r="AQ603"/>
  <c r="AP603"/>
  <c r="AO603"/>
  <c r="AN603"/>
  <c r="AM603"/>
  <c r="AL603"/>
  <c r="AK603"/>
  <c r="AJ603"/>
  <c r="AI603"/>
  <c r="AH603"/>
  <c r="AG603"/>
  <c r="AF603"/>
  <c r="AE603"/>
  <c r="AD603"/>
  <c r="AC603"/>
  <c r="AB603"/>
  <c r="AA603"/>
  <c r="Z603"/>
  <c r="Y603"/>
  <c r="X603"/>
  <c r="W603"/>
  <c r="V603"/>
  <c r="U603"/>
  <c r="T603"/>
  <c r="S603"/>
  <c r="R603"/>
  <c r="Q603"/>
  <c r="P603"/>
  <c r="O603"/>
  <c r="N603"/>
  <c r="M603"/>
  <c r="L603"/>
  <c r="K603"/>
  <c r="J603"/>
  <c r="I603"/>
  <c r="H603"/>
  <c r="G603"/>
  <c r="F603"/>
  <c r="E603"/>
  <c r="D603"/>
  <c r="C603"/>
  <c r="B603"/>
  <c r="A603"/>
  <c r="CJ602"/>
  <c r="CI602"/>
  <c r="CH602"/>
  <c r="CG602"/>
  <c r="CF602"/>
  <c r="CE602"/>
  <c r="CD602"/>
  <c r="CC602"/>
  <c r="CB602"/>
  <c r="CA602"/>
  <c r="BZ602"/>
  <c r="BY602"/>
  <c r="BX602"/>
  <c r="BW602"/>
  <c r="BV602"/>
  <c r="BU602"/>
  <c r="BT602"/>
  <c r="BS602"/>
  <c r="BR602"/>
  <c r="BQ602"/>
  <c r="BP602"/>
  <c r="BO602"/>
  <c r="BN602"/>
  <c r="BM602"/>
  <c r="BL602"/>
  <c r="BK602"/>
  <c r="BJ602"/>
  <c r="BI602"/>
  <c r="BH602"/>
  <c r="BG602"/>
  <c r="BF602"/>
  <c r="BE602"/>
  <c r="BD602"/>
  <c r="BC602"/>
  <c r="BB602"/>
  <c r="BA602"/>
  <c r="AZ602"/>
  <c r="AY602"/>
  <c r="AX602"/>
  <c r="AW602"/>
  <c r="AV602"/>
  <c r="AU602"/>
  <c r="AT602"/>
  <c r="AS602"/>
  <c r="AR602"/>
  <c r="AQ602"/>
  <c r="AP602"/>
  <c r="AO602"/>
  <c r="AN602"/>
  <c r="AM602"/>
  <c r="AL602"/>
  <c r="AK602"/>
  <c r="AJ602"/>
  <c r="AI602"/>
  <c r="AH602"/>
  <c r="AG602"/>
  <c r="AF602"/>
  <c r="AE602"/>
  <c r="AD602"/>
  <c r="AC602"/>
  <c r="AB602"/>
  <c r="AA602"/>
  <c r="Z602"/>
  <c r="Y602"/>
  <c r="X602"/>
  <c r="W602"/>
  <c r="V602"/>
  <c r="U602"/>
  <c r="T602"/>
  <c r="S602"/>
  <c r="R602"/>
  <c r="Q602"/>
  <c r="P602"/>
  <c r="O602"/>
  <c r="N602"/>
  <c r="M602"/>
  <c r="L602"/>
  <c r="K602"/>
  <c r="J602"/>
  <c r="I602"/>
  <c r="H602"/>
  <c r="G602"/>
  <c r="F602"/>
  <c r="E602"/>
  <c r="D602"/>
  <c r="C602"/>
  <c r="B602"/>
  <c r="A602"/>
  <c r="CJ601"/>
  <c r="CI601"/>
  <c r="CH601"/>
  <c r="CG601"/>
  <c r="CF601"/>
  <c r="CE601"/>
  <c r="CD601"/>
  <c r="CC601"/>
  <c r="CB601"/>
  <c r="CA601"/>
  <c r="BZ601"/>
  <c r="BY601"/>
  <c r="BX601"/>
  <c r="BW601"/>
  <c r="BV601"/>
  <c r="BU601"/>
  <c r="BT601"/>
  <c r="BS601"/>
  <c r="BR601"/>
  <c r="BQ601"/>
  <c r="BP601"/>
  <c r="BO601"/>
  <c r="BN601"/>
  <c r="BM601"/>
  <c r="BL601"/>
  <c r="BK601"/>
  <c r="BJ601"/>
  <c r="BI601"/>
  <c r="BH601"/>
  <c r="BG601"/>
  <c r="BF601"/>
  <c r="BE601"/>
  <c r="BD601"/>
  <c r="BC601"/>
  <c r="BB601"/>
  <c r="BA601"/>
  <c r="AZ601"/>
  <c r="AY601"/>
  <c r="AX601"/>
  <c r="AW601"/>
  <c r="AV601"/>
  <c r="AU601"/>
  <c r="AT601"/>
  <c r="AS601"/>
  <c r="AR601"/>
  <c r="AQ601"/>
  <c r="AP601"/>
  <c r="AO601"/>
  <c r="AN601"/>
  <c r="AM601"/>
  <c r="AL601"/>
  <c r="AK601"/>
  <c r="AJ601"/>
  <c r="AI601"/>
  <c r="AH601"/>
  <c r="AG601"/>
  <c r="AF601"/>
  <c r="AE601"/>
  <c r="AD601"/>
  <c r="AC601"/>
  <c r="AB601"/>
  <c r="AA601"/>
  <c r="Z601"/>
  <c r="Y601"/>
  <c r="X601"/>
  <c r="W601"/>
  <c r="V601"/>
  <c r="U601"/>
  <c r="T601"/>
  <c r="S601"/>
  <c r="R601"/>
  <c r="Q601"/>
  <c r="P601"/>
  <c r="O601"/>
  <c r="N601"/>
  <c r="M601"/>
  <c r="L601"/>
  <c r="K601"/>
  <c r="J601"/>
  <c r="I601"/>
  <c r="H601"/>
  <c r="G601"/>
  <c r="F601"/>
  <c r="E601"/>
  <c r="D601"/>
  <c r="C601"/>
  <c r="B601"/>
  <c r="A601"/>
  <c r="CJ600"/>
  <c r="CI600"/>
  <c r="CH600"/>
  <c r="CG600"/>
  <c r="CF600"/>
  <c r="CE600"/>
  <c r="CD600"/>
  <c r="CC600"/>
  <c r="CB600"/>
  <c r="CA600"/>
  <c r="BZ600"/>
  <c r="BY600"/>
  <c r="BX600"/>
  <c r="BW600"/>
  <c r="BV600"/>
  <c r="BU600"/>
  <c r="BT600"/>
  <c r="BS600"/>
  <c r="BR600"/>
  <c r="BQ600"/>
  <c r="BP600"/>
  <c r="BO600"/>
  <c r="BN600"/>
  <c r="BM600"/>
  <c r="BL600"/>
  <c r="BK600"/>
  <c r="BJ600"/>
  <c r="BI600"/>
  <c r="BH600"/>
  <c r="BG600"/>
  <c r="BF600"/>
  <c r="BE600"/>
  <c r="BD600"/>
  <c r="BC600"/>
  <c r="BB600"/>
  <c r="BA600"/>
  <c r="AZ600"/>
  <c r="AY600"/>
  <c r="AX600"/>
  <c r="AW600"/>
  <c r="AV600"/>
  <c r="AU600"/>
  <c r="AT600"/>
  <c r="AS600"/>
  <c r="AR600"/>
  <c r="AQ600"/>
  <c r="AP600"/>
  <c r="AO600"/>
  <c r="AN600"/>
  <c r="AM600"/>
  <c r="AL600"/>
  <c r="AK600"/>
  <c r="AJ600"/>
  <c r="AI600"/>
  <c r="AH600"/>
  <c r="AG600"/>
  <c r="AF600"/>
  <c r="AE600"/>
  <c r="AD600"/>
  <c r="AC600"/>
  <c r="AB600"/>
  <c r="AA600"/>
  <c r="Z600"/>
  <c r="Y600"/>
  <c r="X600"/>
  <c r="W600"/>
  <c r="V600"/>
  <c r="U600"/>
  <c r="T600"/>
  <c r="S600"/>
  <c r="R600"/>
  <c r="Q600"/>
  <c r="P600"/>
  <c r="O600"/>
  <c r="N600"/>
  <c r="M600"/>
  <c r="L600"/>
  <c r="K600"/>
  <c r="J600"/>
  <c r="I600"/>
  <c r="H600"/>
  <c r="G600"/>
  <c r="F600"/>
  <c r="E600"/>
  <c r="D600"/>
  <c r="C600"/>
  <c r="B600"/>
  <c r="A600"/>
  <c r="CJ599"/>
  <c r="CI599"/>
  <c r="CH599"/>
  <c r="CG599"/>
  <c r="CF599"/>
  <c r="CE599"/>
  <c r="CD599"/>
  <c r="CC599"/>
  <c r="CB599"/>
  <c r="CA599"/>
  <c r="BZ599"/>
  <c r="BY599"/>
  <c r="BX599"/>
  <c r="BW599"/>
  <c r="BV599"/>
  <c r="BU599"/>
  <c r="BT599"/>
  <c r="BS599"/>
  <c r="BR599"/>
  <c r="BQ599"/>
  <c r="BP599"/>
  <c r="BO599"/>
  <c r="BN599"/>
  <c r="BM599"/>
  <c r="BL599"/>
  <c r="BK599"/>
  <c r="BJ599"/>
  <c r="BI599"/>
  <c r="BH599"/>
  <c r="BG599"/>
  <c r="BF599"/>
  <c r="BE599"/>
  <c r="BD599"/>
  <c r="BC599"/>
  <c r="BB599"/>
  <c r="BA599"/>
  <c r="AZ599"/>
  <c r="AY599"/>
  <c r="AX599"/>
  <c r="AW599"/>
  <c r="AV599"/>
  <c r="AU599"/>
  <c r="AT599"/>
  <c r="AS599"/>
  <c r="AR599"/>
  <c r="AQ599"/>
  <c r="AP599"/>
  <c r="AO599"/>
  <c r="AN599"/>
  <c r="AM599"/>
  <c r="AL599"/>
  <c r="AK599"/>
  <c r="AJ599"/>
  <c r="AI599"/>
  <c r="AH599"/>
  <c r="AG599"/>
  <c r="AF599"/>
  <c r="AE599"/>
  <c r="AD599"/>
  <c r="AC599"/>
  <c r="AB599"/>
  <c r="AA599"/>
  <c r="Z599"/>
  <c r="Y599"/>
  <c r="X599"/>
  <c r="W599"/>
  <c r="V599"/>
  <c r="U599"/>
  <c r="T599"/>
  <c r="S599"/>
  <c r="R599"/>
  <c r="Q599"/>
  <c r="P599"/>
  <c r="O599"/>
  <c r="N599"/>
  <c r="M599"/>
  <c r="L599"/>
  <c r="K599"/>
  <c r="J599"/>
  <c r="I599"/>
  <c r="H599"/>
  <c r="G599"/>
  <c r="F599"/>
  <c r="E599"/>
  <c r="D599"/>
  <c r="C599"/>
  <c r="B599"/>
  <c r="A599"/>
  <c r="CJ598"/>
  <c r="CI598"/>
  <c r="CH598"/>
  <c r="CG598"/>
  <c r="CF598"/>
  <c r="CE598"/>
  <c r="CD598"/>
  <c r="CC598"/>
  <c r="CB598"/>
  <c r="CA598"/>
  <c r="BZ598"/>
  <c r="BY598"/>
  <c r="BX598"/>
  <c r="BW598"/>
  <c r="BV598"/>
  <c r="BU598"/>
  <c r="BT598"/>
  <c r="BS598"/>
  <c r="BR598"/>
  <c r="BQ598"/>
  <c r="BP598"/>
  <c r="BO598"/>
  <c r="BN598"/>
  <c r="BM598"/>
  <c r="BL598"/>
  <c r="BK598"/>
  <c r="BJ598"/>
  <c r="BI598"/>
  <c r="BH598"/>
  <c r="BG598"/>
  <c r="BF598"/>
  <c r="BE598"/>
  <c r="BD598"/>
  <c r="BC598"/>
  <c r="BB598"/>
  <c r="BA598"/>
  <c r="AZ598"/>
  <c r="AY598"/>
  <c r="AX598"/>
  <c r="AW598"/>
  <c r="AV598"/>
  <c r="AU598"/>
  <c r="AT598"/>
  <c r="AS598"/>
  <c r="AR598"/>
  <c r="AQ598"/>
  <c r="AP598"/>
  <c r="AO598"/>
  <c r="AN598"/>
  <c r="AM598"/>
  <c r="AL598"/>
  <c r="AK598"/>
  <c r="AJ598"/>
  <c r="AI598"/>
  <c r="AH598"/>
  <c r="AG598"/>
  <c r="AF598"/>
  <c r="AE598"/>
  <c r="AD598"/>
  <c r="AC598"/>
  <c r="AB598"/>
  <c r="AA598"/>
  <c r="Z598"/>
  <c r="Y598"/>
  <c r="X598"/>
  <c r="W598"/>
  <c r="V598"/>
  <c r="U598"/>
  <c r="T598"/>
  <c r="S598"/>
  <c r="R598"/>
  <c r="Q598"/>
  <c r="P598"/>
  <c r="O598"/>
  <c r="N598"/>
  <c r="M598"/>
  <c r="L598"/>
  <c r="K598"/>
  <c r="J598"/>
  <c r="I598"/>
  <c r="H598"/>
  <c r="G598"/>
  <c r="F598"/>
  <c r="E598"/>
  <c r="D598"/>
  <c r="C598"/>
  <c r="B598"/>
  <c r="A598"/>
  <c r="CJ597"/>
  <c r="CI597"/>
  <c r="CH597"/>
  <c r="CG597"/>
  <c r="CF597"/>
  <c r="CE597"/>
  <c r="CD597"/>
  <c r="CC597"/>
  <c r="CB597"/>
  <c r="CA597"/>
  <c r="BZ597"/>
  <c r="BY597"/>
  <c r="BX597"/>
  <c r="BW597"/>
  <c r="BV597"/>
  <c r="BU597"/>
  <c r="BT597"/>
  <c r="BS597"/>
  <c r="BR597"/>
  <c r="BQ597"/>
  <c r="BP597"/>
  <c r="BO597"/>
  <c r="BN597"/>
  <c r="BM597"/>
  <c r="BL597"/>
  <c r="BK597"/>
  <c r="BJ597"/>
  <c r="BI597"/>
  <c r="BH597"/>
  <c r="BG597"/>
  <c r="BF597"/>
  <c r="BE597"/>
  <c r="BD597"/>
  <c r="BC597"/>
  <c r="BB597"/>
  <c r="BA597"/>
  <c r="AZ597"/>
  <c r="AY597"/>
  <c r="AX597"/>
  <c r="AW597"/>
  <c r="AV597"/>
  <c r="AU597"/>
  <c r="AT597"/>
  <c r="AS597"/>
  <c r="AR597"/>
  <c r="AQ597"/>
  <c r="AP597"/>
  <c r="AO597"/>
  <c r="AN597"/>
  <c r="AM597"/>
  <c r="AL597"/>
  <c r="AK597"/>
  <c r="AJ597"/>
  <c r="AI597"/>
  <c r="AH597"/>
  <c r="AG597"/>
  <c r="AF597"/>
  <c r="AE597"/>
  <c r="AD597"/>
  <c r="AC597"/>
  <c r="AB597"/>
  <c r="AA597"/>
  <c r="Z597"/>
  <c r="Y597"/>
  <c r="X597"/>
  <c r="W597"/>
  <c r="V597"/>
  <c r="U597"/>
  <c r="T597"/>
  <c r="S597"/>
  <c r="R597"/>
  <c r="Q597"/>
  <c r="P597"/>
  <c r="O597"/>
  <c r="N597"/>
  <c r="M597"/>
  <c r="L597"/>
  <c r="K597"/>
  <c r="J597"/>
  <c r="I597"/>
  <c r="H597"/>
  <c r="G597"/>
  <c r="F597"/>
  <c r="E597"/>
  <c r="D597"/>
  <c r="C597"/>
  <c r="B597"/>
  <c r="A597"/>
  <c r="CJ596"/>
  <c r="CI596"/>
  <c r="CH596"/>
  <c r="CG596"/>
  <c r="CF596"/>
  <c r="CE596"/>
  <c r="CD596"/>
  <c r="CC596"/>
  <c r="CB596"/>
  <c r="CA596"/>
  <c r="BZ596"/>
  <c r="BY596"/>
  <c r="BX596"/>
  <c r="BW596"/>
  <c r="BV596"/>
  <c r="BU596"/>
  <c r="BT596"/>
  <c r="BS596"/>
  <c r="BR596"/>
  <c r="BQ596"/>
  <c r="BP596"/>
  <c r="BO596"/>
  <c r="BN596"/>
  <c r="BM596"/>
  <c r="BL596"/>
  <c r="BK596"/>
  <c r="BJ596"/>
  <c r="BI596"/>
  <c r="BH596"/>
  <c r="BG596"/>
  <c r="BF596"/>
  <c r="BE596"/>
  <c r="BD596"/>
  <c r="BC596"/>
  <c r="BB596"/>
  <c r="BA596"/>
  <c r="AZ596"/>
  <c r="AY596"/>
  <c r="AX596"/>
  <c r="AW596"/>
  <c r="AV596"/>
  <c r="AU596"/>
  <c r="AT596"/>
  <c r="AS596"/>
  <c r="AR596"/>
  <c r="AQ596"/>
  <c r="AP596"/>
  <c r="AO596"/>
  <c r="AN596"/>
  <c r="AM596"/>
  <c r="AL596"/>
  <c r="AK596"/>
  <c r="AJ596"/>
  <c r="AI596"/>
  <c r="AH596"/>
  <c r="AG596"/>
  <c r="AF596"/>
  <c r="AE596"/>
  <c r="AD596"/>
  <c r="AC596"/>
  <c r="AB596"/>
  <c r="AA596"/>
  <c r="Z596"/>
  <c r="Y596"/>
  <c r="X596"/>
  <c r="W596"/>
  <c r="V596"/>
  <c r="U596"/>
  <c r="T596"/>
  <c r="S596"/>
  <c r="R596"/>
  <c r="Q596"/>
  <c r="P596"/>
  <c r="O596"/>
  <c r="N596"/>
  <c r="M596"/>
  <c r="L596"/>
  <c r="K596"/>
  <c r="J596"/>
  <c r="I596"/>
  <c r="H596"/>
  <c r="G596"/>
  <c r="F596"/>
  <c r="E596"/>
  <c r="D596"/>
  <c r="C596"/>
  <c r="B596"/>
  <c r="A596"/>
  <c r="CJ595"/>
  <c r="CI595"/>
  <c r="CH595"/>
  <c r="CG595"/>
  <c r="CF595"/>
  <c r="CE595"/>
  <c r="CD595"/>
  <c r="CC595"/>
  <c r="CB595"/>
  <c r="CA595"/>
  <c r="BZ595"/>
  <c r="BY595"/>
  <c r="BX595"/>
  <c r="BW595"/>
  <c r="BV595"/>
  <c r="BU595"/>
  <c r="BT595"/>
  <c r="BS595"/>
  <c r="BR595"/>
  <c r="BQ595"/>
  <c r="BP595"/>
  <c r="BO595"/>
  <c r="BN595"/>
  <c r="BM595"/>
  <c r="BL595"/>
  <c r="BK595"/>
  <c r="BJ595"/>
  <c r="BI595"/>
  <c r="BH595"/>
  <c r="BG595"/>
  <c r="BF595"/>
  <c r="BE595"/>
  <c r="BD595"/>
  <c r="BC595"/>
  <c r="BB595"/>
  <c r="BA595"/>
  <c r="AZ595"/>
  <c r="AY595"/>
  <c r="AX595"/>
  <c r="AW595"/>
  <c r="AV595"/>
  <c r="AU595"/>
  <c r="AT595"/>
  <c r="AS595"/>
  <c r="AR595"/>
  <c r="AQ595"/>
  <c r="AP595"/>
  <c r="AO595"/>
  <c r="AN595"/>
  <c r="AM595"/>
  <c r="AL595"/>
  <c r="AK595"/>
  <c r="AJ595"/>
  <c r="AI595"/>
  <c r="AH595"/>
  <c r="AG595"/>
  <c r="AF595"/>
  <c r="AE595"/>
  <c r="AD595"/>
  <c r="AC595"/>
  <c r="AB595"/>
  <c r="AA595"/>
  <c r="Z595"/>
  <c r="Y595"/>
  <c r="X595"/>
  <c r="W595"/>
  <c r="V595"/>
  <c r="U595"/>
  <c r="T595"/>
  <c r="S595"/>
  <c r="R595"/>
  <c r="Q595"/>
  <c r="P595"/>
  <c r="O595"/>
  <c r="N595"/>
  <c r="M595"/>
  <c r="L595"/>
  <c r="K595"/>
  <c r="J595"/>
  <c r="I595"/>
  <c r="H595"/>
  <c r="G595"/>
  <c r="F595"/>
  <c r="E595"/>
  <c r="D595"/>
  <c r="C595"/>
  <c r="B595"/>
  <c r="A595"/>
  <c r="CJ594"/>
  <c r="CI594"/>
  <c r="CH594"/>
  <c r="CG594"/>
  <c r="CF594"/>
  <c r="CE594"/>
  <c r="CD594"/>
  <c r="CC594"/>
  <c r="CB594"/>
  <c r="CA594"/>
  <c r="BZ594"/>
  <c r="BY594"/>
  <c r="BX594"/>
  <c r="BW594"/>
  <c r="BV594"/>
  <c r="BU594"/>
  <c r="BT594"/>
  <c r="BS594"/>
  <c r="BR594"/>
  <c r="BQ594"/>
  <c r="BP594"/>
  <c r="BO594"/>
  <c r="BN594"/>
  <c r="BM594"/>
  <c r="BL594"/>
  <c r="BK594"/>
  <c r="BJ594"/>
  <c r="BI594"/>
  <c r="BH594"/>
  <c r="BG594"/>
  <c r="BF594"/>
  <c r="BE594"/>
  <c r="BD594"/>
  <c r="BC594"/>
  <c r="BB594"/>
  <c r="BA594"/>
  <c r="AZ594"/>
  <c r="AY594"/>
  <c r="AX594"/>
  <c r="AW594"/>
  <c r="AV594"/>
  <c r="AU594"/>
  <c r="AT594"/>
  <c r="AS594"/>
  <c r="AR594"/>
  <c r="AQ594"/>
  <c r="AP594"/>
  <c r="AO594"/>
  <c r="AN594"/>
  <c r="AM594"/>
  <c r="AL594"/>
  <c r="AK594"/>
  <c r="AJ594"/>
  <c r="AI594"/>
  <c r="AH594"/>
  <c r="AG594"/>
  <c r="AF594"/>
  <c r="AE594"/>
  <c r="AD594"/>
  <c r="AC594"/>
  <c r="AB594"/>
  <c r="AA594"/>
  <c r="Z594"/>
  <c r="Y594"/>
  <c r="X594"/>
  <c r="W594"/>
  <c r="V594"/>
  <c r="U594"/>
  <c r="T594"/>
  <c r="S594"/>
  <c r="R594"/>
  <c r="Q594"/>
  <c r="P594"/>
  <c r="O594"/>
  <c r="N594"/>
  <c r="M594"/>
  <c r="L594"/>
  <c r="K594"/>
  <c r="J594"/>
  <c r="I594"/>
  <c r="H594"/>
  <c r="G594"/>
  <c r="F594"/>
  <c r="E594"/>
  <c r="D594"/>
  <c r="C594"/>
  <c r="B594"/>
  <c r="A594"/>
  <c r="CJ593"/>
  <c r="CI593"/>
  <c r="CH593"/>
  <c r="CG593"/>
  <c r="CF593"/>
  <c r="CE593"/>
  <c r="CD593"/>
  <c r="CC593"/>
  <c r="CB593"/>
  <c r="CA593"/>
  <c r="BZ593"/>
  <c r="BY593"/>
  <c r="BX593"/>
  <c r="BW593"/>
  <c r="BV593"/>
  <c r="BU593"/>
  <c r="BT593"/>
  <c r="BS593"/>
  <c r="BR593"/>
  <c r="BQ593"/>
  <c r="BP593"/>
  <c r="BO593"/>
  <c r="BN593"/>
  <c r="BM593"/>
  <c r="BL593"/>
  <c r="BK593"/>
  <c r="BJ593"/>
  <c r="BI593"/>
  <c r="BH593"/>
  <c r="BG593"/>
  <c r="BF593"/>
  <c r="BE593"/>
  <c r="BD593"/>
  <c r="BC593"/>
  <c r="BB593"/>
  <c r="BA593"/>
  <c r="AZ593"/>
  <c r="AY593"/>
  <c r="AX593"/>
  <c r="AW593"/>
  <c r="AV593"/>
  <c r="AU593"/>
  <c r="AT593"/>
  <c r="AS593"/>
  <c r="AR593"/>
  <c r="AQ593"/>
  <c r="AP593"/>
  <c r="AO593"/>
  <c r="AN593"/>
  <c r="AM593"/>
  <c r="AL593"/>
  <c r="AK593"/>
  <c r="AJ593"/>
  <c r="AI593"/>
  <c r="AH593"/>
  <c r="AG593"/>
  <c r="AF593"/>
  <c r="AE593"/>
  <c r="AD593"/>
  <c r="AC593"/>
  <c r="AB593"/>
  <c r="AA593"/>
  <c r="Z593"/>
  <c r="Y593"/>
  <c r="X593"/>
  <c r="W593"/>
  <c r="V593"/>
  <c r="U593"/>
  <c r="T593"/>
  <c r="S593"/>
  <c r="R593"/>
  <c r="Q593"/>
  <c r="P593"/>
  <c r="O593"/>
  <c r="N593"/>
  <c r="M593"/>
  <c r="L593"/>
  <c r="K593"/>
  <c r="J593"/>
  <c r="I593"/>
  <c r="H593"/>
  <c r="G593"/>
  <c r="F593"/>
  <c r="E593"/>
  <c r="D593"/>
  <c r="C593"/>
  <c r="B593"/>
  <c r="A593"/>
  <c r="CJ592"/>
  <c r="CI592"/>
  <c r="CH592"/>
  <c r="CG592"/>
  <c r="CF592"/>
  <c r="CE592"/>
  <c r="CD592"/>
  <c r="CC592"/>
  <c r="CB592"/>
  <c r="CA592"/>
  <c r="BZ592"/>
  <c r="BY592"/>
  <c r="BX592"/>
  <c r="BW592"/>
  <c r="BV592"/>
  <c r="BU592"/>
  <c r="BT592"/>
  <c r="BS592"/>
  <c r="BR592"/>
  <c r="BQ592"/>
  <c r="BP592"/>
  <c r="BO592"/>
  <c r="BN592"/>
  <c r="BM592"/>
  <c r="BL592"/>
  <c r="BK592"/>
  <c r="BJ592"/>
  <c r="BI592"/>
  <c r="BH592"/>
  <c r="BG592"/>
  <c r="BF592"/>
  <c r="BE592"/>
  <c r="BD592"/>
  <c r="BC592"/>
  <c r="BB592"/>
  <c r="BA592"/>
  <c r="AZ592"/>
  <c r="AY592"/>
  <c r="AX592"/>
  <c r="AW592"/>
  <c r="AV592"/>
  <c r="AU592"/>
  <c r="AT592"/>
  <c r="AS592"/>
  <c r="AR592"/>
  <c r="AQ592"/>
  <c r="AP592"/>
  <c r="AO592"/>
  <c r="AN592"/>
  <c r="AM592"/>
  <c r="AL592"/>
  <c r="AK592"/>
  <c r="AJ592"/>
  <c r="AI592"/>
  <c r="AH592"/>
  <c r="AG592"/>
  <c r="AF592"/>
  <c r="AE592"/>
  <c r="AD592"/>
  <c r="AC592"/>
  <c r="AB592"/>
  <c r="AA592"/>
  <c r="Z592"/>
  <c r="Y592"/>
  <c r="X592"/>
  <c r="W592"/>
  <c r="V592"/>
  <c r="U592"/>
  <c r="T592"/>
  <c r="S592"/>
  <c r="R592"/>
  <c r="Q592"/>
  <c r="P592"/>
  <c r="O592"/>
  <c r="N592"/>
  <c r="M592"/>
  <c r="L592"/>
  <c r="K592"/>
  <c r="J592"/>
  <c r="I592"/>
  <c r="H592"/>
  <c r="G592"/>
  <c r="F592"/>
  <c r="E592"/>
  <c r="D592"/>
  <c r="C592"/>
  <c r="B592"/>
  <c r="A592"/>
  <c r="CJ591"/>
  <c r="CI591"/>
  <c r="CH591"/>
  <c r="CG591"/>
  <c r="CF591"/>
  <c r="CE591"/>
  <c r="CD591"/>
  <c r="CC591"/>
  <c r="CB591"/>
  <c r="CA591"/>
  <c r="BZ591"/>
  <c r="BY591"/>
  <c r="BX591"/>
  <c r="BW591"/>
  <c r="BV591"/>
  <c r="BU591"/>
  <c r="BT591"/>
  <c r="BS591"/>
  <c r="BR591"/>
  <c r="BQ591"/>
  <c r="BP591"/>
  <c r="BO591"/>
  <c r="BN591"/>
  <c r="BM591"/>
  <c r="BL591"/>
  <c r="BK591"/>
  <c r="BJ591"/>
  <c r="BI591"/>
  <c r="BH591"/>
  <c r="BG591"/>
  <c r="BF591"/>
  <c r="BE591"/>
  <c r="BD591"/>
  <c r="BC591"/>
  <c r="BB591"/>
  <c r="BA591"/>
  <c r="AZ591"/>
  <c r="AY591"/>
  <c r="AX591"/>
  <c r="AW591"/>
  <c r="AV591"/>
  <c r="AU591"/>
  <c r="AT591"/>
  <c r="AS591"/>
  <c r="AR591"/>
  <c r="AQ591"/>
  <c r="AP591"/>
  <c r="AO591"/>
  <c r="AN591"/>
  <c r="AM591"/>
  <c r="AL591"/>
  <c r="AK591"/>
  <c r="AJ591"/>
  <c r="AI591"/>
  <c r="AH591"/>
  <c r="AG591"/>
  <c r="AF591"/>
  <c r="AE591"/>
  <c r="AD591"/>
  <c r="AC591"/>
  <c r="AB591"/>
  <c r="AA591"/>
  <c r="Z591"/>
  <c r="Y591"/>
  <c r="X591"/>
  <c r="W591"/>
  <c r="V591"/>
  <c r="U591"/>
  <c r="T591"/>
  <c r="S591"/>
  <c r="R591"/>
  <c r="Q591"/>
  <c r="P591"/>
  <c r="O591"/>
  <c r="N591"/>
  <c r="M591"/>
  <c r="L591"/>
  <c r="K591"/>
  <c r="J591"/>
  <c r="I591"/>
  <c r="H591"/>
  <c r="G591"/>
  <c r="F591"/>
  <c r="E591"/>
  <c r="D591"/>
  <c r="C591"/>
  <c r="B591"/>
  <c r="A591"/>
  <c r="CJ590"/>
  <c r="CI590"/>
  <c r="CH590"/>
  <c r="CG590"/>
  <c r="CF590"/>
  <c r="CE590"/>
  <c r="CD590"/>
  <c r="CC590"/>
  <c r="CB590"/>
  <c r="CA590"/>
  <c r="BZ590"/>
  <c r="BY590"/>
  <c r="BX590"/>
  <c r="BW590"/>
  <c r="BV590"/>
  <c r="BU590"/>
  <c r="BT590"/>
  <c r="BS590"/>
  <c r="BR590"/>
  <c r="BQ590"/>
  <c r="BP590"/>
  <c r="BO590"/>
  <c r="BN590"/>
  <c r="BM590"/>
  <c r="BL590"/>
  <c r="BK590"/>
  <c r="BJ590"/>
  <c r="BI590"/>
  <c r="BH590"/>
  <c r="BG590"/>
  <c r="BF590"/>
  <c r="BE590"/>
  <c r="BD590"/>
  <c r="BC590"/>
  <c r="BB590"/>
  <c r="BA590"/>
  <c r="AZ590"/>
  <c r="AY590"/>
  <c r="AX590"/>
  <c r="AW590"/>
  <c r="AV590"/>
  <c r="AU590"/>
  <c r="AT590"/>
  <c r="AS590"/>
  <c r="AR590"/>
  <c r="AQ590"/>
  <c r="AP590"/>
  <c r="AO590"/>
  <c r="AN590"/>
  <c r="AM590"/>
  <c r="AL590"/>
  <c r="AK590"/>
  <c r="AJ590"/>
  <c r="AI590"/>
  <c r="AH590"/>
  <c r="AG590"/>
  <c r="AF590"/>
  <c r="AE590"/>
  <c r="AD590"/>
  <c r="AC590"/>
  <c r="AB590"/>
  <c r="AA590"/>
  <c r="Z590"/>
  <c r="Y590"/>
  <c r="X590"/>
  <c r="W590"/>
  <c r="V590"/>
  <c r="U590"/>
  <c r="T590"/>
  <c r="S590"/>
  <c r="R590"/>
  <c r="Q590"/>
  <c r="P590"/>
  <c r="O590"/>
  <c r="N590"/>
  <c r="M590"/>
  <c r="L590"/>
  <c r="K590"/>
  <c r="J590"/>
  <c r="I590"/>
  <c r="H590"/>
  <c r="G590"/>
  <c r="F590"/>
  <c r="E590"/>
  <c r="D590"/>
  <c r="C590"/>
  <c r="B590"/>
  <c r="A590"/>
  <c r="CJ589"/>
  <c r="CI589"/>
  <c r="CH589"/>
  <c r="CG589"/>
  <c r="CF589"/>
  <c r="CE589"/>
  <c r="CD589"/>
  <c r="CC589"/>
  <c r="CB589"/>
  <c r="CA589"/>
  <c r="BZ589"/>
  <c r="BY589"/>
  <c r="BX589"/>
  <c r="BW589"/>
  <c r="BV589"/>
  <c r="BU589"/>
  <c r="BT589"/>
  <c r="BS589"/>
  <c r="BR589"/>
  <c r="BQ589"/>
  <c r="BP589"/>
  <c r="BO589"/>
  <c r="BN589"/>
  <c r="BM589"/>
  <c r="BL589"/>
  <c r="BK589"/>
  <c r="BJ589"/>
  <c r="BI589"/>
  <c r="BH589"/>
  <c r="BG589"/>
  <c r="BF589"/>
  <c r="BE589"/>
  <c r="BD589"/>
  <c r="BC589"/>
  <c r="BB589"/>
  <c r="BA589"/>
  <c r="AZ589"/>
  <c r="AY589"/>
  <c r="AX589"/>
  <c r="AW589"/>
  <c r="AV589"/>
  <c r="AU589"/>
  <c r="AT589"/>
  <c r="AS589"/>
  <c r="AR589"/>
  <c r="AQ589"/>
  <c r="AP589"/>
  <c r="AO589"/>
  <c r="AN589"/>
  <c r="AM589"/>
  <c r="AL589"/>
  <c r="AK589"/>
  <c r="AJ589"/>
  <c r="AI589"/>
  <c r="AH589"/>
  <c r="AG589"/>
  <c r="AF589"/>
  <c r="AE589"/>
  <c r="AD589"/>
  <c r="AC589"/>
  <c r="AB589"/>
  <c r="AA589"/>
  <c r="Z589"/>
  <c r="Y589"/>
  <c r="X589"/>
  <c r="W589"/>
  <c r="V589"/>
  <c r="U589"/>
  <c r="T589"/>
  <c r="S589"/>
  <c r="R589"/>
  <c r="Q589"/>
  <c r="P589"/>
  <c r="O589"/>
  <c r="N589"/>
  <c r="M589"/>
  <c r="L589"/>
  <c r="K589"/>
  <c r="J589"/>
  <c r="I589"/>
  <c r="H589"/>
  <c r="G589"/>
  <c r="F589"/>
  <c r="E589"/>
  <c r="D589"/>
  <c r="C589"/>
  <c r="B589"/>
  <c r="A589"/>
  <c r="CJ588"/>
  <c r="CI588"/>
  <c r="CH588"/>
  <c r="CG588"/>
  <c r="CF588"/>
  <c r="CE588"/>
  <c r="CD588"/>
  <c r="CC588"/>
  <c r="CB588"/>
  <c r="CA588"/>
  <c r="BZ588"/>
  <c r="BY588"/>
  <c r="BX588"/>
  <c r="BW588"/>
  <c r="BV588"/>
  <c r="BU588"/>
  <c r="BT588"/>
  <c r="BS588"/>
  <c r="BR588"/>
  <c r="BQ588"/>
  <c r="BP588"/>
  <c r="BO588"/>
  <c r="BN588"/>
  <c r="BM588"/>
  <c r="BL588"/>
  <c r="BK588"/>
  <c r="BJ588"/>
  <c r="BI588"/>
  <c r="BH588"/>
  <c r="BG588"/>
  <c r="BF588"/>
  <c r="BE588"/>
  <c r="BD588"/>
  <c r="BC588"/>
  <c r="BB588"/>
  <c r="BA588"/>
  <c r="AZ588"/>
  <c r="AY588"/>
  <c r="AX588"/>
  <c r="AW588"/>
  <c r="AV588"/>
  <c r="AU588"/>
  <c r="AT588"/>
  <c r="AS588"/>
  <c r="AR588"/>
  <c r="AQ588"/>
  <c r="AP588"/>
  <c r="AO588"/>
  <c r="AN588"/>
  <c r="AM588"/>
  <c r="AL588"/>
  <c r="AK588"/>
  <c r="AJ588"/>
  <c r="AI588"/>
  <c r="AH588"/>
  <c r="AG588"/>
  <c r="AF588"/>
  <c r="AE588"/>
  <c r="AD588"/>
  <c r="AC588"/>
  <c r="AB588"/>
  <c r="AA588"/>
  <c r="Z588"/>
  <c r="Y588"/>
  <c r="X588"/>
  <c r="W588"/>
  <c r="V588"/>
  <c r="U588"/>
  <c r="T588"/>
  <c r="S588"/>
  <c r="R588"/>
  <c r="Q588"/>
  <c r="P588"/>
  <c r="O588"/>
  <c r="N588"/>
  <c r="M588"/>
  <c r="L588"/>
  <c r="K588"/>
  <c r="J588"/>
  <c r="I588"/>
  <c r="H588"/>
  <c r="G588"/>
  <c r="F588"/>
  <c r="E588"/>
  <c r="D588"/>
  <c r="C588"/>
  <c r="B588"/>
  <c r="A588"/>
  <c r="CJ587"/>
  <c r="CI587"/>
  <c r="CH587"/>
  <c r="CG587"/>
  <c r="CF587"/>
  <c r="CE587"/>
  <c r="CD587"/>
  <c r="CC587"/>
  <c r="CB587"/>
  <c r="CA587"/>
  <c r="BZ587"/>
  <c r="BY587"/>
  <c r="BX587"/>
  <c r="BW587"/>
  <c r="BV587"/>
  <c r="BU587"/>
  <c r="BT587"/>
  <c r="BS587"/>
  <c r="BR587"/>
  <c r="BQ587"/>
  <c r="BP587"/>
  <c r="BO587"/>
  <c r="BN587"/>
  <c r="BM587"/>
  <c r="BL587"/>
  <c r="BK587"/>
  <c r="BJ587"/>
  <c r="BI587"/>
  <c r="BH587"/>
  <c r="BG587"/>
  <c r="BF587"/>
  <c r="BE587"/>
  <c r="BD587"/>
  <c r="BC587"/>
  <c r="BB587"/>
  <c r="BA587"/>
  <c r="AZ587"/>
  <c r="AY587"/>
  <c r="AX587"/>
  <c r="AW587"/>
  <c r="AV587"/>
  <c r="AU587"/>
  <c r="AT587"/>
  <c r="AS587"/>
  <c r="AR587"/>
  <c r="AQ587"/>
  <c r="AP587"/>
  <c r="AO587"/>
  <c r="AN587"/>
  <c r="AM587"/>
  <c r="AL587"/>
  <c r="AK587"/>
  <c r="AJ587"/>
  <c r="AI587"/>
  <c r="AH587"/>
  <c r="AG587"/>
  <c r="AF587"/>
  <c r="AE587"/>
  <c r="AD587"/>
  <c r="AC587"/>
  <c r="AB587"/>
  <c r="AA587"/>
  <c r="Z587"/>
  <c r="Y587"/>
  <c r="X587"/>
  <c r="W587"/>
  <c r="V587"/>
  <c r="U587"/>
  <c r="T587"/>
  <c r="S587"/>
  <c r="R587"/>
  <c r="Q587"/>
  <c r="P587"/>
  <c r="O587"/>
  <c r="N587"/>
  <c r="M587"/>
  <c r="L587"/>
  <c r="K587"/>
  <c r="J587"/>
  <c r="I587"/>
  <c r="H587"/>
  <c r="G587"/>
  <c r="F587"/>
  <c r="E587"/>
  <c r="D587"/>
  <c r="C587"/>
  <c r="B587"/>
  <c r="A587"/>
  <c r="CJ586"/>
  <c r="CI586"/>
  <c r="CH586"/>
  <c r="CG586"/>
  <c r="CF586"/>
  <c r="CE586"/>
  <c r="CD586"/>
  <c r="CC586"/>
  <c r="CB586"/>
  <c r="CA586"/>
  <c r="BZ586"/>
  <c r="BY586"/>
  <c r="BX586"/>
  <c r="BW586"/>
  <c r="BV586"/>
  <c r="BU586"/>
  <c r="BT586"/>
  <c r="BS586"/>
  <c r="BR586"/>
  <c r="BQ586"/>
  <c r="BP586"/>
  <c r="BO586"/>
  <c r="BN586"/>
  <c r="BM586"/>
  <c r="BL586"/>
  <c r="BK586"/>
  <c r="BJ586"/>
  <c r="BI586"/>
  <c r="BH586"/>
  <c r="BG586"/>
  <c r="BF586"/>
  <c r="BE586"/>
  <c r="BD586"/>
  <c r="BC586"/>
  <c r="BB586"/>
  <c r="BA586"/>
  <c r="AZ586"/>
  <c r="AY586"/>
  <c r="AX586"/>
  <c r="AW586"/>
  <c r="AV586"/>
  <c r="AU586"/>
  <c r="AT586"/>
  <c r="AS586"/>
  <c r="AR586"/>
  <c r="AQ586"/>
  <c r="AP586"/>
  <c r="AO586"/>
  <c r="AN586"/>
  <c r="AM586"/>
  <c r="AL586"/>
  <c r="AK586"/>
  <c r="AJ586"/>
  <c r="AI586"/>
  <c r="AH586"/>
  <c r="AG586"/>
  <c r="AF586"/>
  <c r="AE586"/>
  <c r="AD586"/>
  <c r="AC586"/>
  <c r="AB586"/>
  <c r="AA586"/>
  <c r="Z586"/>
  <c r="Y586"/>
  <c r="X586"/>
  <c r="W586"/>
  <c r="V586"/>
  <c r="U586"/>
  <c r="T586"/>
  <c r="S586"/>
  <c r="R586"/>
  <c r="Q586"/>
  <c r="P586"/>
  <c r="O586"/>
  <c r="N586"/>
  <c r="M586"/>
  <c r="L586"/>
  <c r="K586"/>
  <c r="J586"/>
  <c r="I586"/>
  <c r="H586"/>
  <c r="G586"/>
  <c r="F586"/>
  <c r="E586"/>
  <c r="D586"/>
  <c r="C586"/>
  <c r="B586"/>
  <c r="A586"/>
  <c r="CJ585"/>
  <c r="CI585"/>
  <c r="CH585"/>
  <c r="CG585"/>
  <c r="CF585"/>
  <c r="CE585"/>
  <c r="CD585"/>
  <c r="CC585"/>
  <c r="CB585"/>
  <c r="CA585"/>
  <c r="BZ585"/>
  <c r="BY585"/>
  <c r="BX585"/>
  <c r="BW585"/>
  <c r="BV585"/>
  <c r="BU585"/>
  <c r="BT585"/>
  <c r="BS585"/>
  <c r="BR585"/>
  <c r="BQ585"/>
  <c r="BP585"/>
  <c r="BO585"/>
  <c r="BN585"/>
  <c r="BM585"/>
  <c r="BL585"/>
  <c r="BK585"/>
  <c r="BJ585"/>
  <c r="BI585"/>
  <c r="BH585"/>
  <c r="BG585"/>
  <c r="BF585"/>
  <c r="BE585"/>
  <c r="BD585"/>
  <c r="BC585"/>
  <c r="BB585"/>
  <c r="BA585"/>
  <c r="AZ585"/>
  <c r="AY585"/>
  <c r="AX585"/>
  <c r="AW585"/>
  <c r="AV585"/>
  <c r="AU585"/>
  <c r="AT585"/>
  <c r="AS585"/>
  <c r="AR585"/>
  <c r="AQ585"/>
  <c r="AP585"/>
  <c r="AO585"/>
  <c r="AN585"/>
  <c r="AM585"/>
  <c r="AL585"/>
  <c r="AK585"/>
  <c r="AJ585"/>
  <c r="AI585"/>
  <c r="AH585"/>
  <c r="AG585"/>
  <c r="AF585"/>
  <c r="AE585"/>
  <c r="AD585"/>
  <c r="AC585"/>
  <c r="AB585"/>
  <c r="AA585"/>
  <c r="Z585"/>
  <c r="Y585"/>
  <c r="X585"/>
  <c r="W585"/>
  <c r="V585"/>
  <c r="U585"/>
  <c r="T585"/>
  <c r="S585"/>
  <c r="R585"/>
  <c r="Q585"/>
  <c r="P585"/>
  <c r="O585"/>
  <c r="N585"/>
  <c r="M585"/>
  <c r="L585"/>
  <c r="K585"/>
  <c r="J585"/>
  <c r="I585"/>
  <c r="H585"/>
  <c r="G585"/>
  <c r="F585"/>
  <c r="E585"/>
  <c r="D585"/>
  <c r="C585"/>
  <c r="B585"/>
  <c r="A585"/>
  <c r="CJ584"/>
  <c r="CI584"/>
  <c r="CH584"/>
  <c r="CG584"/>
  <c r="CF584"/>
  <c r="CE584"/>
  <c r="CD584"/>
  <c r="CC584"/>
  <c r="CB584"/>
  <c r="CA584"/>
  <c r="BZ584"/>
  <c r="BY584"/>
  <c r="BX584"/>
  <c r="BW584"/>
  <c r="BV584"/>
  <c r="BU584"/>
  <c r="BT584"/>
  <c r="BS584"/>
  <c r="BR584"/>
  <c r="BQ584"/>
  <c r="BP584"/>
  <c r="BO584"/>
  <c r="BN584"/>
  <c r="BM584"/>
  <c r="BL584"/>
  <c r="BK584"/>
  <c r="BJ584"/>
  <c r="BI584"/>
  <c r="BH584"/>
  <c r="BG584"/>
  <c r="BF584"/>
  <c r="BE584"/>
  <c r="BD584"/>
  <c r="BC584"/>
  <c r="BB584"/>
  <c r="BA584"/>
  <c r="AZ584"/>
  <c r="AY584"/>
  <c r="AX584"/>
  <c r="AW584"/>
  <c r="AV584"/>
  <c r="AU584"/>
  <c r="AT584"/>
  <c r="AS584"/>
  <c r="AR584"/>
  <c r="AQ584"/>
  <c r="AP584"/>
  <c r="AO584"/>
  <c r="AN584"/>
  <c r="AM584"/>
  <c r="AL584"/>
  <c r="AK584"/>
  <c r="AJ584"/>
  <c r="AI584"/>
  <c r="AH584"/>
  <c r="AG584"/>
  <c r="AF584"/>
  <c r="AE584"/>
  <c r="AD584"/>
  <c r="AC584"/>
  <c r="AB584"/>
  <c r="AA584"/>
  <c r="Z584"/>
  <c r="Y584"/>
  <c r="X584"/>
  <c r="W584"/>
  <c r="V584"/>
  <c r="U584"/>
  <c r="T584"/>
  <c r="S584"/>
  <c r="R584"/>
  <c r="Q584"/>
  <c r="P584"/>
  <c r="O584"/>
  <c r="N584"/>
  <c r="M584"/>
  <c r="L584"/>
  <c r="K584"/>
  <c r="J584"/>
  <c r="I584"/>
  <c r="H584"/>
  <c r="G584"/>
  <c r="F584"/>
  <c r="E584"/>
  <c r="D584"/>
  <c r="C584"/>
  <c r="B584"/>
  <c r="A584"/>
  <c r="CJ583"/>
  <c r="CI583"/>
  <c r="CH583"/>
  <c r="CG583"/>
  <c r="CF583"/>
  <c r="CE583"/>
  <c r="CD583"/>
  <c r="CC583"/>
  <c r="CB583"/>
  <c r="CA583"/>
  <c r="BZ583"/>
  <c r="BY583"/>
  <c r="BX583"/>
  <c r="BW583"/>
  <c r="BV583"/>
  <c r="BU583"/>
  <c r="BT583"/>
  <c r="BS583"/>
  <c r="BR583"/>
  <c r="BQ583"/>
  <c r="BP583"/>
  <c r="BO583"/>
  <c r="BN583"/>
  <c r="BM583"/>
  <c r="BL583"/>
  <c r="BK583"/>
  <c r="BJ583"/>
  <c r="BI583"/>
  <c r="BH583"/>
  <c r="BG583"/>
  <c r="BF583"/>
  <c r="BE583"/>
  <c r="BD583"/>
  <c r="BC583"/>
  <c r="BB583"/>
  <c r="BA583"/>
  <c r="AZ583"/>
  <c r="AY583"/>
  <c r="AX583"/>
  <c r="AW583"/>
  <c r="AV583"/>
  <c r="AU583"/>
  <c r="AT583"/>
  <c r="AS583"/>
  <c r="AR583"/>
  <c r="AQ583"/>
  <c r="AP583"/>
  <c r="AO583"/>
  <c r="AN583"/>
  <c r="AM583"/>
  <c r="AL583"/>
  <c r="AK583"/>
  <c r="AJ583"/>
  <c r="AI583"/>
  <c r="AH583"/>
  <c r="AG583"/>
  <c r="AF583"/>
  <c r="AE583"/>
  <c r="AD583"/>
  <c r="AC583"/>
  <c r="AB583"/>
  <c r="AA583"/>
  <c r="Z583"/>
  <c r="Y583"/>
  <c r="X583"/>
  <c r="W583"/>
  <c r="V583"/>
  <c r="U583"/>
  <c r="T583"/>
  <c r="S583"/>
  <c r="R583"/>
  <c r="Q583"/>
  <c r="P583"/>
  <c r="O583"/>
  <c r="N583"/>
  <c r="M583"/>
  <c r="L583"/>
  <c r="K583"/>
  <c r="J583"/>
  <c r="I583"/>
  <c r="H583"/>
  <c r="G583"/>
  <c r="F583"/>
  <c r="E583"/>
  <c r="D583"/>
  <c r="C583"/>
  <c r="B583"/>
  <c r="A583"/>
  <c r="CJ582"/>
  <c r="CI582"/>
  <c r="CH582"/>
  <c r="CG582"/>
  <c r="CF582"/>
  <c r="CE582"/>
  <c r="CD582"/>
  <c r="CC582"/>
  <c r="CB582"/>
  <c r="CA582"/>
  <c r="BZ582"/>
  <c r="BY582"/>
  <c r="BX582"/>
  <c r="BW582"/>
  <c r="BV582"/>
  <c r="BU582"/>
  <c r="BT582"/>
  <c r="BS582"/>
  <c r="BR582"/>
  <c r="BQ582"/>
  <c r="BP582"/>
  <c r="BO582"/>
  <c r="BN582"/>
  <c r="BM582"/>
  <c r="BL582"/>
  <c r="BK582"/>
  <c r="BJ582"/>
  <c r="BI582"/>
  <c r="BH582"/>
  <c r="BG582"/>
  <c r="BF582"/>
  <c r="BE582"/>
  <c r="BD582"/>
  <c r="BC582"/>
  <c r="BB582"/>
  <c r="BA582"/>
  <c r="AZ582"/>
  <c r="AY582"/>
  <c r="AX582"/>
  <c r="AW582"/>
  <c r="AV582"/>
  <c r="AU582"/>
  <c r="AT582"/>
  <c r="AS582"/>
  <c r="AR582"/>
  <c r="AQ582"/>
  <c r="AP582"/>
  <c r="AO582"/>
  <c r="AN582"/>
  <c r="AM582"/>
  <c r="AL582"/>
  <c r="AK582"/>
  <c r="AJ582"/>
  <c r="AI582"/>
  <c r="AH582"/>
  <c r="AG582"/>
  <c r="AF582"/>
  <c r="AE582"/>
  <c r="AD582"/>
  <c r="AC582"/>
  <c r="AB582"/>
  <c r="AA582"/>
  <c r="Z582"/>
  <c r="Y582"/>
  <c r="X582"/>
  <c r="W582"/>
  <c r="V582"/>
  <c r="U582"/>
  <c r="T582"/>
  <c r="S582"/>
  <c r="R582"/>
  <c r="Q582"/>
  <c r="P582"/>
  <c r="O582"/>
  <c r="N582"/>
  <c r="M582"/>
  <c r="L582"/>
  <c r="K582"/>
  <c r="J582"/>
  <c r="I582"/>
  <c r="H582"/>
  <c r="G582"/>
  <c r="F582"/>
  <c r="E582"/>
  <c r="D582"/>
  <c r="C582"/>
  <c r="B582"/>
  <c r="A582"/>
  <c r="CJ581"/>
  <c r="CI581"/>
  <c r="CH581"/>
  <c r="CG581"/>
  <c r="CF581"/>
  <c r="CE581"/>
  <c r="CD581"/>
  <c r="CC581"/>
  <c r="CB581"/>
  <c r="CA581"/>
  <c r="BZ581"/>
  <c r="BY581"/>
  <c r="BX581"/>
  <c r="BW581"/>
  <c r="BV581"/>
  <c r="BU581"/>
  <c r="BT581"/>
  <c r="BS581"/>
  <c r="BR581"/>
  <c r="BQ581"/>
  <c r="BP581"/>
  <c r="BO581"/>
  <c r="BN581"/>
  <c r="BM581"/>
  <c r="BL581"/>
  <c r="BK581"/>
  <c r="BJ581"/>
  <c r="BI581"/>
  <c r="BH581"/>
  <c r="BG581"/>
  <c r="BF581"/>
  <c r="BE581"/>
  <c r="BD581"/>
  <c r="BC581"/>
  <c r="BB581"/>
  <c r="BA581"/>
  <c r="AZ581"/>
  <c r="AY581"/>
  <c r="AX581"/>
  <c r="AW581"/>
  <c r="AV581"/>
  <c r="AU581"/>
  <c r="AT581"/>
  <c r="AS581"/>
  <c r="AR581"/>
  <c r="AQ581"/>
  <c r="AP581"/>
  <c r="AO581"/>
  <c r="AN581"/>
  <c r="AM581"/>
  <c r="AL581"/>
  <c r="AK581"/>
  <c r="AJ581"/>
  <c r="AI581"/>
  <c r="AH581"/>
  <c r="AG581"/>
  <c r="AF581"/>
  <c r="AE581"/>
  <c r="AD581"/>
  <c r="AC581"/>
  <c r="AB581"/>
  <c r="AA581"/>
  <c r="Z581"/>
  <c r="Y581"/>
  <c r="X581"/>
  <c r="W581"/>
  <c r="V581"/>
  <c r="U581"/>
  <c r="T581"/>
  <c r="S581"/>
  <c r="R581"/>
  <c r="Q581"/>
  <c r="P581"/>
  <c r="O581"/>
  <c r="N581"/>
  <c r="M581"/>
  <c r="L581"/>
  <c r="K581"/>
  <c r="J581"/>
  <c r="I581"/>
  <c r="H581"/>
  <c r="G581"/>
  <c r="F581"/>
  <c r="E581"/>
  <c r="D581"/>
  <c r="C581"/>
  <c r="B581"/>
  <c r="A581"/>
  <c r="CJ580"/>
  <c r="CI580"/>
  <c r="CH580"/>
  <c r="CG580"/>
  <c r="CF580"/>
  <c r="CE580"/>
  <c r="CD580"/>
  <c r="CC580"/>
  <c r="CB580"/>
  <c r="CA580"/>
  <c r="BZ580"/>
  <c r="BY580"/>
  <c r="BX580"/>
  <c r="BW580"/>
  <c r="BV580"/>
  <c r="BU580"/>
  <c r="BT580"/>
  <c r="BS580"/>
  <c r="BR580"/>
  <c r="BQ580"/>
  <c r="BP580"/>
  <c r="BO580"/>
  <c r="BN580"/>
  <c r="BM580"/>
  <c r="BL580"/>
  <c r="BK580"/>
  <c r="BJ580"/>
  <c r="BI580"/>
  <c r="BH580"/>
  <c r="BG580"/>
  <c r="BF580"/>
  <c r="BE580"/>
  <c r="BD580"/>
  <c r="BC580"/>
  <c r="BB580"/>
  <c r="BA580"/>
  <c r="AZ580"/>
  <c r="AY580"/>
  <c r="AX580"/>
  <c r="AW580"/>
  <c r="AV580"/>
  <c r="AU580"/>
  <c r="AT580"/>
  <c r="AS580"/>
  <c r="AR580"/>
  <c r="AQ580"/>
  <c r="AP580"/>
  <c r="AO580"/>
  <c r="AN580"/>
  <c r="AM580"/>
  <c r="AL580"/>
  <c r="AK580"/>
  <c r="AJ580"/>
  <c r="AI580"/>
  <c r="AH580"/>
  <c r="AG580"/>
  <c r="AF580"/>
  <c r="AE580"/>
  <c r="AD580"/>
  <c r="AC580"/>
  <c r="AB580"/>
  <c r="AA580"/>
  <c r="Z580"/>
  <c r="Y580"/>
  <c r="X580"/>
  <c r="W580"/>
  <c r="V580"/>
  <c r="U580"/>
  <c r="T580"/>
  <c r="S580"/>
  <c r="R580"/>
  <c r="Q580"/>
  <c r="P580"/>
  <c r="O580"/>
  <c r="N580"/>
  <c r="M580"/>
  <c r="L580"/>
  <c r="K580"/>
  <c r="J580"/>
  <c r="I580"/>
  <c r="H580"/>
  <c r="G580"/>
  <c r="F580"/>
  <c r="E580"/>
  <c r="D580"/>
  <c r="C580"/>
  <c r="B580"/>
  <c r="A580"/>
  <c r="CJ579"/>
  <c r="CI579"/>
  <c r="CH579"/>
  <c r="CG579"/>
  <c r="CF579"/>
  <c r="CE579"/>
  <c r="CD579"/>
  <c r="CC579"/>
  <c r="CB579"/>
  <c r="CA579"/>
  <c r="BZ579"/>
  <c r="BY579"/>
  <c r="BX579"/>
  <c r="BW579"/>
  <c r="BV579"/>
  <c r="BU579"/>
  <c r="BT579"/>
  <c r="BS579"/>
  <c r="BR579"/>
  <c r="BQ579"/>
  <c r="BP579"/>
  <c r="BO579"/>
  <c r="BN579"/>
  <c r="BM579"/>
  <c r="BL579"/>
  <c r="BK579"/>
  <c r="BJ579"/>
  <c r="BI579"/>
  <c r="BH579"/>
  <c r="BG579"/>
  <c r="BF579"/>
  <c r="BE579"/>
  <c r="BD579"/>
  <c r="BC579"/>
  <c r="BB579"/>
  <c r="BA579"/>
  <c r="AZ579"/>
  <c r="AY579"/>
  <c r="AX579"/>
  <c r="AW579"/>
  <c r="AV579"/>
  <c r="AU579"/>
  <c r="AT579"/>
  <c r="AS579"/>
  <c r="AR579"/>
  <c r="AQ579"/>
  <c r="AP579"/>
  <c r="AO579"/>
  <c r="AN579"/>
  <c r="AM579"/>
  <c r="AL579"/>
  <c r="AK579"/>
  <c r="AJ579"/>
  <c r="AI579"/>
  <c r="AH579"/>
  <c r="AG579"/>
  <c r="AF579"/>
  <c r="AE579"/>
  <c r="AD579"/>
  <c r="AC579"/>
  <c r="AB579"/>
  <c r="AA579"/>
  <c r="Z579"/>
  <c r="Y579"/>
  <c r="X579"/>
  <c r="W579"/>
  <c r="V579"/>
  <c r="U579"/>
  <c r="T579"/>
  <c r="S579"/>
  <c r="R579"/>
  <c r="Q579"/>
  <c r="P579"/>
  <c r="O579"/>
  <c r="N579"/>
  <c r="M579"/>
  <c r="L579"/>
  <c r="K579"/>
  <c r="J579"/>
  <c r="I579"/>
  <c r="H579"/>
  <c r="G579"/>
  <c r="F579"/>
  <c r="E579"/>
  <c r="D579"/>
  <c r="C579"/>
  <c r="B579"/>
  <c r="A579"/>
  <c r="CJ578"/>
  <c r="CI578"/>
  <c r="CH578"/>
  <c r="CG578"/>
  <c r="CF578"/>
  <c r="CE578"/>
  <c r="CD578"/>
  <c r="CC578"/>
  <c r="CB578"/>
  <c r="CA578"/>
  <c r="BZ578"/>
  <c r="BY578"/>
  <c r="BX578"/>
  <c r="BW578"/>
  <c r="BV578"/>
  <c r="BU578"/>
  <c r="BT578"/>
  <c r="BS578"/>
  <c r="BR578"/>
  <c r="BQ578"/>
  <c r="BP578"/>
  <c r="BO578"/>
  <c r="BN578"/>
  <c r="BM578"/>
  <c r="BL578"/>
  <c r="BK578"/>
  <c r="BJ578"/>
  <c r="BI578"/>
  <c r="BH578"/>
  <c r="BG578"/>
  <c r="BF578"/>
  <c r="BE578"/>
  <c r="BD578"/>
  <c r="BC578"/>
  <c r="BB578"/>
  <c r="BA578"/>
  <c r="AZ578"/>
  <c r="AY578"/>
  <c r="AX578"/>
  <c r="AW578"/>
  <c r="AV578"/>
  <c r="AU578"/>
  <c r="AT578"/>
  <c r="AS578"/>
  <c r="AR578"/>
  <c r="AQ578"/>
  <c r="AP578"/>
  <c r="AO578"/>
  <c r="AN578"/>
  <c r="AM578"/>
  <c r="AL578"/>
  <c r="AK578"/>
  <c r="AJ578"/>
  <c r="AI578"/>
  <c r="AH578"/>
  <c r="AG578"/>
  <c r="AF578"/>
  <c r="AE578"/>
  <c r="AD578"/>
  <c r="AC578"/>
  <c r="AB578"/>
  <c r="AA578"/>
  <c r="Z578"/>
  <c r="Y578"/>
  <c r="X578"/>
  <c r="W578"/>
  <c r="V578"/>
  <c r="U578"/>
  <c r="T578"/>
  <c r="S578"/>
  <c r="R578"/>
  <c r="Q578"/>
  <c r="P578"/>
  <c r="O578"/>
  <c r="N578"/>
  <c r="M578"/>
  <c r="L578"/>
  <c r="K578"/>
  <c r="J578"/>
  <c r="I578"/>
  <c r="H578"/>
  <c r="G578"/>
  <c r="F578"/>
  <c r="E578"/>
  <c r="D578"/>
  <c r="C578"/>
  <c r="B578"/>
  <c r="A578"/>
  <c r="CJ577"/>
  <c r="CI577"/>
  <c r="CH577"/>
  <c r="CG577"/>
  <c r="CF577"/>
  <c r="CE577"/>
  <c r="CD577"/>
  <c r="CC577"/>
  <c r="CB577"/>
  <c r="CA577"/>
  <c r="BZ577"/>
  <c r="BY577"/>
  <c r="BX577"/>
  <c r="BW577"/>
  <c r="BV577"/>
  <c r="BU577"/>
  <c r="BT577"/>
  <c r="BS577"/>
  <c r="BR577"/>
  <c r="BQ577"/>
  <c r="BP577"/>
  <c r="BO577"/>
  <c r="BN577"/>
  <c r="BM577"/>
  <c r="BL577"/>
  <c r="BK577"/>
  <c r="BJ577"/>
  <c r="BI577"/>
  <c r="BH577"/>
  <c r="BG577"/>
  <c r="BF577"/>
  <c r="BE577"/>
  <c r="BD577"/>
  <c r="BC577"/>
  <c r="BB577"/>
  <c r="BA577"/>
  <c r="AZ577"/>
  <c r="AY577"/>
  <c r="AX577"/>
  <c r="AW577"/>
  <c r="AV577"/>
  <c r="AU577"/>
  <c r="AT577"/>
  <c r="AS577"/>
  <c r="AR577"/>
  <c r="AQ577"/>
  <c r="AP577"/>
  <c r="AO577"/>
  <c r="AN577"/>
  <c r="AM577"/>
  <c r="AL577"/>
  <c r="AK577"/>
  <c r="AJ577"/>
  <c r="AI577"/>
  <c r="AH577"/>
  <c r="AG577"/>
  <c r="AF577"/>
  <c r="AE577"/>
  <c r="AD577"/>
  <c r="AC577"/>
  <c r="AB577"/>
  <c r="AA577"/>
  <c r="Z577"/>
  <c r="Y577"/>
  <c r="X577"/>
  <c r="W577"/>
  <c r="V577"/>
  <c r="U577"/>
  <c r="T577"/>
  <c r="S577"/>
  <c r="R577"/>
  <c r="Q577"/>
  <c r="P577"/>
  <c r="O577"/>
  <c r="N577"/>
  <c r="M577"/>
  <c r="L577"/>
  <c r="K577"/>
  <c r="J577"/>
  <c r="I577"/>
  <c r="H577"/>
  <c r="G577"/>
  <c r="F577"/>
  <c r="E577"/>
  <c r="D577"/>
  <c r="C577"/>
  <c r="B577"/>
  <c r="A577"/>
  <c r="CJ576"/>
  <c r="CI576"/>
  <c r="CH576"/>
  <c r="CG576"/>
  <c r="CF576"/>
  <c r="CE576"/>
  <c r="CD576"/>
  <c r="CC576"/>
  <c r="CB576"/>
  <c r="CA576"/>
  <c r="BZ576"/>
  <c r="BY576"/>
  <c r="BX576"/>
  <c r="BW576"/>
  <c r="BV576"/>
  <c r="BU576"/>
  <c r="BT576"/>
  <c r="BS576"/>
  <c r="BR576"/>
  <c r="BQ576"/>
  <c r="BP576"/>
  <c r="BO576"/>
  <c r="BN576"/>
  <c r="BM576"/>
  <c r="BL576"/>
  <c r="BK576"/>
  <c r="BJ576"/>
  <c r="BI576"/>
  <c r="BH576"/>
  <c r="BG576"/>
  <c r="BF576"/>
  <c r="BE576"/>
  <c r="BD576"/>
  <c r="BC576"/>
  <c r="BB576"/>
  <c r="BA576"/>
  <c r="AZ576"/>
  <c r="AY576"/>
  <c r="AX576"/>
  <c r="AW576"/>
  <c r="AV576"/>
  <c r="AU576"/>
  <c r="AT576"/>
  <c r="AS576"/>
  <c r="AR576"/>
  <c r="AQ576"/>
  <c r="AP576"/>
  <c r="AO576"/>
  <c r="AN576"/>
  <c r="AM576"/>
  <c r="AL576"/>
  <c r="AK576"/>
  <c r="AJ576"/>
  <c r="AI576"/>
  <c r="AH576"/>
  <c r="AG576"/>
  <c r="AF576"/>
  <c r="AE576"/>
  <c r="AD576"/>
  <c r="AC576"/>
  <c r="AB576"/>
  <c r="AA576"/>
  <c r="Z576"/>
  <c r="Y576"/>
  <c r="X576"/>
  <c r="W576"/>
  <c r="V576"/>
  <c r="U576"/>
  <c r="T576"/>
  <c r="S576"/>
  <c r="R576"/>
  <c r="Q576"/>
  <c r="P576"/>
  <c r="O576"/>
  <c r="N576"/>
  <c r="M576"/>
  <c r="L576"/>
  <c r="K576"/>
  <c r="J576"/>
  <c r="I576"/>
  <c r="H576"/>
  <c r="G576"/>
  <c r="F576"/>
  <c r="E576"/>
  <c r="D576"/>
  <c r="C576"/>
  <c r="B576"/>
  <c r="A576"/>
  <c r="CJ575"/>
  <c r="CI575"/>
  <c r="CH575"/>
  <c r="CG575"/>
  <c r="CF575"/>
  <c r="CE575"/>
  <c r="CD575"/>
  <c r="CC575"/>
  <c r="CB575"/>
  <c r="CA575"/>
  <c r="BZ575"/>
  <c r="BY575"/>
  <c r="BX575"/>
  <c r="BW575"/>
  <c r="BV575"/>
  <c r="BU575"/>
  <c r="BT575"/>
  <c r="BS575"/>
  <c r="BR575"/>
  <c r="BQ575"/>
  <c r="BP575"/>
  <c r="BO575"/>
  <c r="BN575"/>
  <c r="BM575"/>
  <c r="BL575"/>
  <c r="BK575"/>
  <c r="BJ575"/>
  <c r="BI575"/>
  <c r="BH575"/>
  <c r="BG575"/>
  <c r="BF575"/>
  <c r="BE575"/>
  <c r="BD575"/>
  <c r="BC575"/>
  <c r="BB575"/>
  <c r="BA575"/>
  <c r="AZ575"/>
  <c r="AY575"/>
  <c r="AX575"/>
  <c r="AW575"/>
  <c r="AV575"/>
  <c r="AU575"/>
  <c r="AT575"/>
  <c r="AS575"/>
  <c r="AR575"/>
  <c r="AQ575"/>
  <c r="AP575"/>
  <c r="AO575"/>
  <c r="AN575"/>
  <c r="AM575"/>
  <c r="AL575"/>
  <c r="AK575"/>
  <c r="AJ575"/>
  <c r="AI575"/>
  <c r="AH575"/>
  <c r="AG575"/>
  <c r="AF575"/>
  <c r="AE575"/>
  <c r="AD575"/>
  <c r="AC575"/>
  <c r="AB575"/>
  <c r="AA575"/>
  <c r="Z575"/>
  <c r="Y575"/>
  <c r="X575"/>
  <c r="W575"/>
  <c r="V575"/>
  <c r="U575"/>
  <c r="T575"/>
  <c r="S575"/>
  <c r="R575"/>
  <c r="Q575"/>
  <c r="P575"/>
  <c r="O575"/>
  <c r="N575"/>
  <c r="M575"/>
  <c r="L575"/>
  <c r="K575"/>
  <c r="J575"/>
  <c r="I575"/>
  <c r="H575"/>
  <c r="G575"/>
  <c r="F575"/>
  <c r="E575"/>
  <c r="D575"/>
  <c r="C575"/>
  <c r="B575"/>
  <c r="A575"/>
  <c r="CJ574"/>
  <c r="CI574"/>
  <c r="CH574"/>
  <c r="CG574"/>
  <c r="CF574"/>
  <c r="CE574"/>
  <c r="CD574"/>
  <c r="CC574"/>
  <c r="CB574"/>
  <c r="CA574"/>
  <c r="BZ574"/>
  <c r="BY574"/>
  <c r="BX574"/>
  <c r="BW574"/>
  <c r="BV574"/>
  <c r="BU574"/>
  <c r="BT574"/>
  <c r="BS574"/>
  <c r="BR574"/>
  <c r="BQ574"/>
  <c r="BP574"/>
  <c r="BO574"/>
  <c r="BN574"/>
  <c r="BM574"/>
  <c r="BL574"/>
  <c r="BK574"/>
  <c r="BJ574"/>
  <c r="BI574"/>
  <c r="BH574"/>
  <c r="BG574"/>
  <c r="BF574"/>
  <c r="BE574"/>
  <c r="BD574"/>
  <c r="BC574"/>
  <c r="BB574"/>
  <c r="BA574"/>
  <c r="AZ574"/>
  <c r="AY574"/>
  <c r="AX574"/>
  <c r="AW574"/>
  <c r="AV574"/>
  <c r="AU574"/>
  <c r="AT574"/>
  <c r="AS574"/>
  <c r="AR574"/>
  <c r="AQ574"/>
  <c r="AP574"/>
  <c r="AO574"/>
  <c r="AN574"/>
  <c r="AM574"/>
  <c r="AL574"/>
  <c r="AK574"/>
  <c r="AJ574"/>
  <c r="AI574"/>
  <c r="AH574"/>
  <c r="AG574"/>
  <c r="AF574"/>
  <c r="AE574"/>
  <c r="AD574"/>
  <c r="AC574"/>
  <c r="AB574"/>
  <c r="AA574"/>
  <c r="Z574"/>
  <c r="Y574"/>
  <c r="X574"/>
  <c r="W574"/>
  <c r="V574"/>
  <c r="U574"/>
  <c r="T574"/>
  <c r="S574"/>
  <c r="R574"/>
  <c r="Q574"/>
  <c r="P574"/>
  <c r="O574"/>
  <c r="N574"/>
  <c r="M574"/>
  <c r="L574"/>
  <c r="K574"/>
  <c r="J574"/>
  <c r="I574"/>
  <c r="H574"/>
  <c r="G574"/>
  <c r="F574"/>
  <c r="E574"/>
  <c r="D574"/>
  <c r="C574"/>
  <c r="B574"/>
  <c r="A574"/>
  <c r="CJ573"/>
  <c r="CI573"/>
  <c r="CH573"/>
  <c r="CG573"/>
  <c r="CF573"/>
  <c r="CE573"/>
  <c r="CD573"/>
  <c r="CC573"/>
  <c r="CB573"/>
  <c r="CA573"/>
  <c r="BZ573"/>
  <c r="BY573"/>
  <c r="BX573"/>
  <c r="BW573"/>
  <c r="BV573"/>
  <c r="BU573"/>
  <c r="BT573"/>
  <c r="BS573"/>
  <c r="BR573"/>
  <c r="BQ573"/>
  <c r="BP573"/>
  <c r="BO573"/>
  <c r="BN573"/>
  <c r="BM573"/>
  <c r="BL573"/>
  <c r="BK573"/>
  <c r="BJ573"/>
  <c r="BI573"/>
  <c r="BH573"/>
  <c r="BG573"/>
  <c r="BF573"/>
  <c r="BE573"/>
  <c r="BD573"/>
  <c r="BC573"/>
  <c r="BB573"/>
  <c r="BA573"/>
  <c r="AZ573"/>
  <c r="AY573"/>
  <c r="AX573"/>
  <c r="AW573"/>
  <c r="AV573"/>
  <c r="AU573"/>
  <c r="AT573"/>
  <c r="AS573"/>
  <c r="AR573"/>
  <c r="AQ573"/>
  <c r="AP573"/>
  <c r="AO573"/>
  <c r="AN573"/>
  <c r="AM573"/>
  <c r="AL573"/>
  <c r="AK573"/>
  <c r="AJ573"/>
  <c r="AI573"/>
  <c r="AH573"/>
  <c r="AG573"/>
  <c r="AF573"/>
  <c r="AE573"/>
  <c r="AD573"/>
  <c r="AC573"/>
  <c r="AB573"/>
  <c r="AA573"/>
  <c r="Z573"/>
  <c r="Y573"/>
  <c r="X573"/>
  <c r="W573"/>
  <c r="V573"/>
  <c r="U573"/>
  <c r="T573"/>
  <c r="S573"/>
  <c r="R573"/>
  <c r="Q573"/>
  <c r="P573"/>
  <c r="O573"/>
  <c r="N573"/>
  <c r="M573"/>
  <c r="L573"/>
  <c r="K573"/>
  <c r="J573"/>
  <c r="I573"/>
  <c r="H573"/>
  <c r="G573"/>
  <c r="F573"/>
  <c r="E573"/>
  <c r="D573"/>
  <c r="C573"/>
  <c r="B573"/>
  <c r="A573"/>
  <c r="CJ572"/>
  <c r="CI572"/>
  <c r="CH572"/>
  <c r="CG572"/>
  <c r="CF572"/>
  <c r="CE572"/>
  <c r="CD572"/>
  <c r="CC572"/>
  <c r="CB572"/>
  <c r="CA572"/>
  <c r="BZ572"/>
  <c r="BY572"/>
  <c r="BX572"/>
  <c r="BW572"/>
  <c r="BV572"/>
  <c r="BU572"/>
  <c r="BT572"/>
  <c r="BS572"/>
  <c r="BR572"/>
  <c r="BQ572"/>
  <c r="BP572"/>
  <c r="BO572"/>
  <c r="BN572"/>
  <c r="BM572"/>
  <c r="BL572"/>
  <c r="BK572"/>
  <c r="BJ572"/>
  <c r="BI572"/>
  <c r="BH572"/>
  <c r="BG572"/>
  <c r="BF572"/>
  <c r="BE572"/>
  <c r="BD572"/>
  <c r="BC572"/>
  <c r="BB572"/>
  <c r="BA572"/>
  <c r="AZ572"/>
  <c r="AY572"/>
  <c r="AX572"/>
  <c r="AW572"/>
  <c r="AV572"/>
  <c r="AU572"/>
  <c r="AT572"/>
  <c r="AS572"/>
  <c r="AR572"/>
  <c r="AQ572"/>
  <c r="AP572"/>
  <c r="AO572"/>
  <c r="AN572"/>
  <c r="AM572"/>
  <c r="AL572"/>
  <c r="AK572"/>
  <c r="AJ572"/>
  <c r="AI572"/>
  <c r="AH572"/>
  <c r="AG572"/>
  <c r="AF572"/>
  <c r="AE572"/>
  <c r="AD572"/>
  <c r="AC572"/>
  <c r="AB572"/>
  <c r="AA572"/>
  <c r="Z572"/>
  <c r="Y572"/>
  <c r="X572"/>
  <c r="W572"/>
  <c r="V572"/>
  <c r="U572"/>
  <c r="T572"/>
  <c r="S572"/>
  <c r="R572"/>
  <c r="Q572"/>
  <c r="P572"/>
  <c r="O572"/>
  <c r="N572"/>
  <c r="M572"/>
  <c r="L572"/>
  <c r="K572"/>
  <c r="J572"/>
  <c r="I572"/>
  <c r="H572"/>
  <c r="G572"/>
  <c r="F572"/>
  <c r="E572"/>
  <c r="D572"/>
  <c r="C572"/>
  <c r="B572"/>
  <c r="A572"/>
  <c r="CJ571"/>
  <c r="CI571"/>
  <c r="CH571"/>
  <c r="CG571"/>
  <c r="CF571"/>
  <c r="CE571"/>
  <c r="CD571"/>
  <c r="CC571"/>
  <c r="CB571"/>
  <c r="CA571"/>
  <c r="BZ571"/>
  <c r="BY571"/>
  <c r="BX571"/>
  <c r="BW571"/>
  <c r="BV571"/>
  <c r="BU571"/>
  <c r="BT571"/>
  <c r="BS571"/>
  <c r="BR571"/>
  <c r="BQ571"/>
  <c r="BP571"/>
  <c r="BO571"/>
  <c r="BN571"/>
  <c r="BM571"/>
  <c r="BL571"/>
  <c r="BK571"/>
  <c r="BJ571"/>
  <c r="BI571"/>
  <c r="BH571"/>
  <c r="BG571"/>
  <c r="BF571"/>
  <c r="BE571"/>
  <c r="BD571"/>
  <c r="BC571"/>
  <c r="BB571"/>
  <c r="BA571"/>
  <c r="AZ571"/>
  <c r="AY571"/>
  <c r="AX571"/>
  <c r="AW571"/>
  <c r="AV571"/>
  <c r="AU571"/>
  <c r="AT571"/>
  <c r="AS571"/>
  <c r="AR571"/>
  <c r="AQ571"/>
  <c r="AP571"/>
  <c r="AO571"/>
  <c r="AN571"/>
  <c r="AM571"/>
  <c r="AL571"/>
  <c r="AK571"/>
  <c r="AJ571"/>
  <c r="AI571"/>
  <c r="AH571"/>
  <c r="AG571"/>
  <c r="AF571"/>
  <c r="AE571"/>
  <c r="AD571"/>
  <c r="AC571"/>
  <c r="AB571"/>
  <c r="AA571"/>
  <c r="Z571"/>
  <c r="Y571"/>
  <c r="X571"/>
  <c r="W571"/>
  <c r="V571"/>
  <c r="U571"/>
  <c r="T571"/>
  <c r="S571"/>
  <c r="R571"/>
  <c r="Q571"/>
  <c r="P571"/>
  <c r="O571"/>
  <c r="N571"/>
  <c r="M571"/>
  <c r="L571"/>
  <c r="K571"/>
  <c r="J571"/>
  <c r="I571"/>
  <c r="H571"/>
  <c r="G571"/>
  <c r="F571"/>
  <c r="E571"/>
  <c r="D571"/>
  <c r="C571"/>
  <c r="B571"/>
  <c r="A571"/>
  <c r="CJ570"/>
  <c r="CI570"/>
  <c r="CH570"/>
  <c r="CG570"/>
  <c r="CF570"/>
  <c r="CE570"/>
  <c r="CD570"/>
  <c r="CC570"/>
  <c r="CB570"/>
  <c r="CA570"/>
  <c r="BZ570"/>
  <c r="BY570"/>
  <c r="BX570"/>
  <c r="BW570"/>
  <c r="BV570"/>
  <c r="BU570"/>
  <c r="BT570"/>
  <c r="BS570"/>
  <c r="BR570"/>
  <c r="BQ570"/>
  <c r="BP570"/>
  <c r="BO570"/>
  <c r="BN570"/>
  <c r="BM570"/>
  <c r="BL570"/>
  <c r="BK570"/>
  <c r="BJ570"/>
  <c r="BI570"/>
  <c r="BH570"/>
  <c r="BG570"/>
  <c r="BF570"/>
  <c r="BE570"/>
  <c r="BD570"/>
  <c r="BC570"/>
  <c r="BB570"/>
  <c r="BA570"/>
  <c r="AZ570"/>
  <c r="AY570"/>
  <c r="AX570"/>
  <c r="AW570"/>
  <c r="AV570"/>
  <c r="AU570"/>
  <c r="AT570"/>
  <c r="AS570"/>
  <c r="AR570"/>
  <c r="AQ570"/>
  <c r="AP570"/>
  <c r="AO570"/>
  <c r="AN570"/>
  <c r="AM570"/>
  <c r="AL570"/>
  <c r="AK570"/>
  <c r="AJ570"/>
  <c r="AI570"/>
  <c r="AH570"/>
  <c r="AG570"/>
  <c r="AF570"/>
  <c r="AE570"/>
  <c r="AD570"/>
  <c r="AC570"/>
  <c r="AB570"/>
  <c r="AA570"/>
  <c r="Z570"/>
  <c r="Y570"/>
  <c r="X570"/>
  <c r="W570"/>
  <c r="V570"/>
  <c r="U570"/>
  <c r="T570"/>
  <c r="S570"/>
  <c r="R570"/>
  <c r="Q570"/>
  <c r="P570"/>
  <c r="O570"/>
  <c r="N570"/>
  <c r="M570"/>
  <c r="L570"/>
  <c r="K570"/>
  <c r="J570"/>
  <c r="I570"/>
  <c r="H570"/>
  <c r="G570"/>
  <c r="F570"/>
  <c r="E570"/>
  <c r="D570"/>
  <c r="C570"/>
  <c r="B570"/>
  <c r="A570"/>
  <c r="CJ569"/>
  <c r="CI569"/>
  <c r="CH569"/>
  <c r="CG569"/>
  <c r="CF569"/>
  <c r="CE569"/>
  <c r="CD569"/>
  <c r="CC569"/>
  <c r="CB569"/>
  <c r="CA569"/>
  <c r="BZ569"/>
  <c r="BY569"/>
  <c r="BX569"/>
  <c r="BW569"/>
  <c r="BV569"/>
  <c r="BU569"/>
  <c r="BT569"/>
  <c r="BS569"/>
  <c r="BR569"/>
  <c r="BQ569"/>
  <c r="BP569"/>
  <c r="BO569"/>
  <c r="BN569"/>
  <c r="BM569"/>
  <c r="BL569"/>
  <c r="BK569"/>
  <c r="BJ569"/>
  <c r="BI569"/>
  <c r="BH569"/>
  <c r="BG569"/>
  <c r="BF569"/>
  <c r="BE569"/>
  <c r="BD569"/>
  <c r="BC569"/>
  <c r="BB569"/>
  <c r="BA569"/>
  <c r="AZ569"/>
  <c r="AY569"/>
  <c r="AX569"/>
  <c r="AW569"/>
  <c r="AV569"/>
  <c r="AU569"/>
  <c r="AT569"/>
  <c r="AS569"/>
  <c r="AR569"/>
  <c r="AQ569"/>
  <c r="AP569"/>
  <c r="AO569"/>
  <c r="AN569"/>
  <c r="AM569"/>
  <c r="AL569"/>
  <c r="AK569"/>
  <c r="AJ569"/>
  <c r="AI569"/>
  <c r="AH569"/>
  <c r="AG569"/>
  <c r="AF569"/>
  <c r="AE569"/>
  <c r="AD569"/>
  <c r="AC569"/>
  <c r="AB569"/>
  <c r="AA569"/>
  <c r="Z569"/>
  <c r="Y569"/>
  <c r="X569"/>
  <c r="W569"/>
  <c r="V569"/>
  <c r="U569"/>
  <c r="T569"/>
  <c r="S569"/>
  <c r="R569"/>
  <c r="Q569"/>
  <c r="P569"/>
  <c r="O569"/>
  <c r="N569"/>
  <c r="M569"/>
  <c r="L569"/>
  <c r="K569"/>
  <c r="J569"/>
  <c r="I569"/>
  <c r="H569"/>
  <c r="G569"/>
  <c r="F569"/>
  <c r="E569"/>
  <c r="D569"/>
  <c r="C569"/>
  <c r="B569"/>
  <c r="A569"/>
  <c r="CJ568"/>
  <c r="CI568"/>
  <c r="CH568"/>
  <c r="CG568"/>
  <c r="CF568"/>
  <c r="CE568"/>
  <c r="CD568"/>
  <c r="CC568"/>
  <c r="CB568"/>
  <c r="CA568"/>
  <c r="BZ568"/>
  <c r="BY568"/>
  <c r="BX568"/>
  <c r="BW568"/>
  <c r="BV568"/>
  <c r="BU568"/>
  <c r="BT568"/>
  <c r="BS568"/>
  <c r="BR568"/>
  <c r="BQ568"/>
  <c r="BP568"/>
  <c r="BO568"/>
  <c r="BN568"/>
  <c r="BM568"/>
  <c r="BL568"/>
  <c r="BK568"/>
  <c r="BJ568"/>
  <c r="BI568"/>
  <c r="BH568"/>
  <c r="BG568"/>
  <c r="BF568"/>
  <c r="BE568"/>
  <c r="BD568"/>
  <c r="BC568"/>
  <c r="BB568"/>
  <c r="BA568"/>
  <c r="AZ568"/>
  <c r="AY568"/>
  <c r="AX568"/>
  <c r="AW568"/>
  <c r="AV568"/>
  <c r="AU568"/>
  <c r="AT568"/>
  <c r="AS568"/>
  <c r="AR568"/>
  <c r="AQ568"/>
  <c r="AP568"/>
  <c r="AO568"/>
  <c r="AN568"/>
  <c r="AM568"/>
  <c r="AL568"/>
  <c r="AK568"/>
  <c r="AJ568"/>
  <c r="AI568"/>
  <c r="AH568"/>
  <c r="AG568"/>
  <c r="AF568"/>
  <c r="AE568"/>
  <c r="AD568"/>
  <c r="AC568"/>
  <c r="AB568"/>
  <c r="AA568"/>
  <c r="Z568"/>
  <c r="Y568"/>
  <c r="X568"/>
  <c r="W568"/>
  <c r="V568"/>
  <c r="U568"/>
  <c r="T568"/>
  <c r="S568"/>
  <c r="R568"/>
  <c r="Q568"/>
  <c r="P568"/>
  <c r="O568"/>
  <c r="N568"/>
  <c r="M568"/>
  <c r="L568"/>
  <c r="K568"/>
  <c r="J568"/>
  <c r="I568"/>
  <c r="H568"/>
  <c r="G568"/>
  <c r="F568"/>
  <c r="E568"/>
  <c r="D568"/>
  <c r="C568"/>
  <c r="B568"/>
  <c r="A568"/>
  <c r="CJ567"/>
  <c r="CI567"/>
  <c r="CH567"/>
  <c r="CG567"/>
  <c r="CF567"/>
  <c r="CE567"/>
  <c r="CD567"/>
  <c r="CC567"/>
  <c r="CB567"/>
  <c r="CA567"/>
  <c r="BZ567"/>
  <c r="BY567"/>
  <c r="BX567"/>
  <c r="BW567"/>
  <c r="BV567"/>
  <c r="BU567"/>
  <c r="BT567"/>
  <c r="BS567"/>
  <c r="BR567"/>
  <c r="BQ567"/>
  <c r="BP567"/>
  <c r="BO567"/>
  <c r="BN567"/>
  <c r="BM567"/>
  <c r="BL567"/>
  <c r="BK567"/>
  <c r="BJ567"/>
  <c r="BI567"/>
  <c r="BH567"/>
  <c r="BG567"/>
  <c r="BF567"/>
  <c r="BE567"/>
  <c r="BD567"/>
  <c r="BC567"/>
  <c r="BB567"/>
  <c r="BA567"/>
  <c r="AZ567"/>
  <c r="AY567"/>
  <c r="AX567"/>
  <c r="AW567"/>
  <c r="AV567"/>
  <c r="AU567"/>
  <c r="AT567"/>
  <c r="AS567"/>
  <c r="AR567"/>
  <c r="AQ567"/>
  <c r="AP567"/>
  <c r="AO567"/>
  <c r="AN567"/>
  <c r="AM567"/>
  <c r="AL567"/>
  <c r="AK567"/>
  <c r="AJ567"/>
  <c r="AI567"/>
  <c r="AH567"/>
  <c r="AG567"/>
  <c r="AF567"/>
  <c r="AE567"/>
  <c r="AD567"/>
  <c r="AC567"/>
  <c r="AB567"/>
  <c r="AA567"/>
  <c r="Z567"/>
  <c r="Y567"/>
  <c r="X567"/>
  <c r="W567"/>
  <c r="V567"/>
  <c r="U567"/>
  <c r="T567"/>
  <c r="S567"/>
  <c r="R567"/>
  <c r="Q567"/>
  <c r="P567"/>
  <c r="O567"/>
  <c r="N567"/>
  <c r="M567"/>
  <c r="L567"/>
  <c r="K567"/>
  <c r="J567"/>
  <c r="I567"/>
  <c r="H567"/>
  <c r="G567"/>
  <c r="F567"/>
  <c r="E567"/>
  <c r="D567"/>
  <c r="C567"/>
  <c r="B567"/>
  <c r="A567"/>
  <c r="CJ566"/>
  <c r="CI566"/>
  <c r="CH566"/>
  <c r="CG566"/>
  <c r="CF566"/>
  <c r="CE566"/>
  <c r="CD566"/>
  <c r="CC566"/>
  <c r="CB566"/>
  <c r="CA566"/>
  <c r="BZ566"/>
  <c r="BY566"/>
  <c r="BX566"/>
  <c r="BW566"/>
  <c r="BV566"/>
  <c r="BU566"/>
  <c r="BT566"/>
  <c r="BS566"/>
  <c r="BR566"/>
  <c r="BQ566"/>
  <c r="BP566"/>
  <c r="BO566"/>
  <c r="BN566"/>
  <c r="BM566"/>
  <c r="BL566"/>
  <c r="BK566"/>
  <c r="BJ566"/>
  <c r="BI566"/>
  <c r="BH566"/>
  <c r="BG566"/>
  <c r="BF566"/>
  <c r="BE566"/>
  <c r="BD566"/>
  <c r="BC566"/>
  <c r="BB566"/>
  <c r="BA566"/>
  <c r="AZ566"/>
  <c r="AY566"/>
  <c r="AX566"/>
  <c r="AW566"/>
  <c r="AV566"/>
  <c r="AU566"/>
  <c r="AT566"/>
  <c r="AS566"/>
  <c r="AR566"/>
  <c r="AQ566"/>
  <c r="AP566"/>
  <c r="AO566"/>
  <c r="AN566"/>
  <c r="AM566"/>
  <c r="AL566"/>
  <c r="AK566"/>
  <c r="AJ566"/>
  <c r="AI566"/>
  <c r="AH566"/>
  <c r="AG566"/>
  <c r="AF566"/>
  <c r="AE566"/>
  <c r="AD566"/>
  <c r="AC566"/>
  <c r="AB566"/>
  <c r="AA566"/>
  <c r="Z566"/>
  <c r="Y566"/>
  <c r="X566"/>
  <c r="W566"/>
  <c r="V566"/>
  <c r="U566"/>
  <c r="T566"/>
  <c r="S566"/>
  <c r="R566"/>
  <c r="Q566"/>
  <c r="P566"/>
  <c r="O566"/>
  <c r="N566"/>
  <c r="M566"/>
  <c r="L566"/>
  <c r="K566"/>
  <c r="J566"/>
  <c r="I566"/>
  <c r="H566"/>
  <c r="G566"/>
  <c r="F566"/>
  <c r="E566"/>
  <c r="D566"/>
  <c r="C566"/>
  <c r="B566"/>
  <c r="A566"/>
  <c r="CJ565"/>
  <c r="CI565"/>
  <c r="CH565"/>
  <c r="CG565"/>
  <c r="CF565"/>
  <c r="CE565"/>
  <c r="CD565"/>
  <c r="CC565"/>
  <c r="CB565"/>
  <c r="CA565"/>
  <c r="BZ565"/>
  <c r="BY565"/>
  <c r="BX565"/>
  <c r="BW565"/>
  <c r="BV565"/>
  <c r="BU565"/>
  <c r="BT565"/>
  <c r="BS565"/>
  <c r="BR565"/>
  <c r="BQ565"/>
  <c r="BP565"/>
  <c r="BO565"/>
  <c r="BN565"/>
  <c r="BM565"/>
  <c r="BL565"/>
  <c r="BK565"/>
  <c r="BJ565"/>
  <c r="BI565"/>
  <c r="BH565"/>
  <c r="BG565"/>
  <c r="BF565"/>
  <c r="BE565"/>
  <c r="BD565"/>
  <c r="BC565"/>
  <c r="BB565"/>
  <c r="BA565"/>
  <c r="AZ565"/>
  <c r="AY565"/>
  <c r="AX565"/>
  <c r="AW565"/>
  <c r="AV565"/>
  <c r="AU565"/>
  <c r="AT565"/>
  <c r="AS565"/>
  <c r="AR565"/>
  <c r="AQ565"/>
  <c r="AP565"/>
  <c r="AO565"/>
  <c r="AN565"/>
  <c r="AM565"/>
  <c r="AL565"/>
  <c r="AK565"/>
  <c r="AJ565"/>
  <c r="AI565"/>
  <c r="AH565"/>
  <c r="AG565"/>
  <c r="AF565"/>
  <c r="AE565"/>
  <c r="AD565"/>
  <c r="AC565"/>
  <c r="AB565"/>
  <c r="AA565"/>
  <c r="Z565"/>
  <c r="Y565"/>
  <c r="X565"/>
  <c r="W565"/>
  <c r="V565"/>
  <c r="U565"/>
  <c r="T565"/>
  <c r="S565"/>
  <c r="R565"/>
  <c r="Q565"/>
  <c r="P565"/>
  <c r="O565"/>
  <c r="N565"/>
  <c r="M565"/>
  <c r="L565"/>
  <c r="K565"/>
  <c r="J565"/>
  <c r="I565"/>
  <c r="H565"/>
  <c r="G565"/>
  <c r="F565"/>
  <c r="E565"/>
  <c r="D565"/>
  <c r="C565"/>
  <c r="B565"/>
  <c r="A565"/>
  <c r="CJ564"/>
  <c r="CI564"/>
  <c r="CH564"/>
  <c r="CG564"/>
  <c r="CF564"/>
  <c r="CE564"/>
  <c r="CD564"/>
  <c r="CC564"/>
  <c r="CB564"/>
  <c r="CA564"/>
  <c r="BZ564"/>
  <c r="BY564"/>
  <c r="BX564"/>
  <c r="BW564"/>
  <c r="BV564"/>
  <c r="BU564"/>
  <c r="BT564"/>
  <c r="BS564"/>
  <c r="BR564"/>
  <c r="BQ564"/>
  <c r="BP564"/>
  <c r="BO564"/>
  <c r="BN564"/>
  <c r="BM564"/>
  <c r="BL564"/>
  <c r="BK564"/>
  <c r="BJ564"/>
  <c r="BI564"/>
  <c r="BH564"/>
  <c r="BG564"/>
  <c r="BF564"/>
  <c r="BE564"/>
  <c r="BD564"/>
  <c r="BC564"/>
  <c r="BB564"/>
  <c r="BA564"/>
  <c r="AZ564"/>
  <c r="AY564"/>
  <c r="AX564"/>
  <c r="AW564"/>
  <c r="AV564"/>
  <c r="AU564"/>
  <c r="AT564"/>
  <c r="AS564"/>
  <c r="AR564"/>
  <c r="AQ564"/>
  <c r="AP564"/>
  <c r="AO564"/>
  <c r="AN564"/>
  <c r="AM564"/>
  <c r="AL564"/>
  <c r="AK564"/>
  <c r="AJ564"/>
  <c r="AI564"/>
  <c r="AH564"/>
  <c r="AG564"/>
  <c r="AF564"/>
  <c r="AE564"/>
  <c r="AD564"/>
  <c r="AC564"/>
  <c r="AB564"/>
  <c r="AA564"/>
  <c r="Z564"/>
  <c r="Y564"/>
  <c r="X564"/>
  <c r="W564"/>
  <c r="V564"/>
  <c r="U564"/>
  <c r="T564"/>
  <c r="S564"/>
  <c r="R564"/>
  <c r="Q564"/>
  <c r="P564"/>
  <c r="O564"/>
  <c r="N564"/>
  <c r="M564"/>
  <c r="L564"/>
  <c r="K564"/>
  <c r="J564"/>
  <c r="I564"/>
  <c r="H564"/>
  <c r="G564"/>
  <c r="F564"/>
  <c r="E564"/>
  <c r="D564"/>
  <c r="C564"/>
  <c r="B564"/>
  <c r="A564"/>
  <c r="CJ563"/>
  <c r="CI563"/>
  <c r="CH563"/>
  <c r="CG563"/>
  <c r="CF563"/>
  <c r="CE563"/>
  <c r="CD563"/>
  <c r="CC563"/>
  <c r="CB563"/>
  <c r="CA563"/>
  <c r="BZ563"/>
  <c r="BY563"/>
  <c r="BX563"/>
  <c r="BW563"/>
  <c r="BV563"/>
  <c r="BU563"/>
  <c r="BT563"/>
  <c r="BS563"/>
  <c r="BR563"/>
  <c r="BQ563"/>
  <c r="BP563"/>
  <c r="BO563"/>
  <c r="BN563"/>
  <c r="BM563"/>
  <c r="BL563"/>
  <c r="BK563"/>
  <c r="BJ563"/>
  <c r="BI563"/>
  <c r="BH563"/>
  <c r="BG563"/>
  <c r="BF563"/>
  <c r="BE563"/>
  <c r="BD563"/>
  <c r="BC563"/>
  <c r="BB563"/>
  <c r="BA563"/>
  <c r="AZ563"/>
  <c r="AY563"/>
  <c r="AX563"/>
  <c r="AW563"/>
  <c r="AV563"/>
  <c r="AU563"/>
  <c r="AT563"/>
  <c r="AS563"/>
  <c r="AR563"/>
  <c r="AQ563"/>
  <c r="AP563"/>
  <c r="AO563"/>
  <c r="AN563"/>
  <c r="AM563"/>
  <c r="AL563"/>
  <c r="AK563"/>
  <c r="AJ563"/>
  <c r="AI563"/>
  <c r="AH563"/>
  <c r="AG563"/>
  <c r="AF563"/>
  <c r="AE563"/>
  <c r="AD563"/>
  <c r="AC563"/>
  <c r="AB563"/>
  <c r="AA563"/>
  <c r="Z563"/>
  <c r="Y563"/>
  <c r="X563"/>
  <c r="W563"/>
  <c r="V563"/>
  <c r="U563"/>
  <c r="T563"/>
  <c r="S563"/>
  <c r="R563"/>
  <c r="Q563"/>
  <c r="P563"/>
  <c r="O563"/>
  <c r="N563"/>
  <c r="M563"/>
  <c r="L563"/>
  <c r="K563"/>
  <c r="J563"/>
  <c r="I563"/>
  <c r="H563"/>
  <c r="G563"/>
  <c r="F563"/>
  <c r="E563"/>
  <c r="D563"/>
  <c r="C563"/>
  <c r="B563"/>
  <c r="A563"/>
  <c r="CJ562"/>
  <c r="CI562"/>
  <c r="CH562"/>
  <c r="CG562"/>
  <c r="CF562"/>
  <c r="CE562"/>
  <c r="CD562"/>
  <c r="CC562"/>
  <c r="CB562"/>
  <c r="CA562"/>
  <c r="BZ562"/>
  <c r="BY562"/>
  <c r="BX562"/>
  <c r="BW562"/>
  <c r="BV562"/>
  <c r="BU562"/>
  <c r="BT562"/>
  <c r="BS562"/>
  <c r="BR562"/>
  <c r="BQ562"/>
  <c r="BP562"/>
  <c r="BO562"/>
  <c r="BN562"/>
  <c r="BM562"/>
  <c r="BL562"/>
  <c r="BK562"/>
  <c r="BJ562"/>
  <c r="BI562"/>
  <c r="BH562"/>
  <c r="BG562"/>
  <c r="BF562"/>
  <c r="BE562"/>
  <c r="BD562"/>
  <c r="BC562"/>
  <c r="BB562"/>
  <c r="BA562"/>
  <c r="AZ562"/>
  <c r="AY562"/>
  <c r="AX562"/>
  <c r="AW562"/>
  <c r="AV562"/>
  <c r="AU562"/>
  <c r="AT562"/>
  <c r="AS562"/>
  <c r="AR562"/>
  <c r="AQ562"/>
  <c r="AP562"/>
  <c r="AO562"/>
  <c r="AN562"/>
  <c r="AM562"/>
  <c r="AL562"/>
  <c r="AK562"/>
  <c r="AJ562"/>
  <c r="AI562"/>
  <c r="AH562"/>
  <c r="AG562"/>
  <c r="AF562"/>
  <c r="AE562"/>
  <c r="AD562"/>
  <c r="AC562"/>
  <c r="AB562"/>
  <c r="AA562"/>
  <c r="Z562"/>
  <c r="Y562"/>
  <c r="X562"/>
  <c r="W562"/>
  <c r="V562"/>
  <c r="U562"/>
  <c r="T562"/>
  <c r="S562"/>
  <c r="R562"/>
  <c r="Q562"/>
  <c r="P562"/>
  <c r="O562"/>
  <c r="N562"/>
  <c r="M562"/>
  <c r="L562"/>
  <c r="K562"/>
  <c r="J562"/>
  <c r="I562"/>
  <c r="H562"/>
  <c r="G562"/>
  <c r="F562"/>
  <c r="E562"/>
  <c r="D562"/>
  <c r="C562"/>
  <c r="B562"/>
  <c r="A562"/>
  <c r="CJ561"/>
  <c r="CI561"/>
  <c r="CH561"/>
  <c r="CG561"/>
  <c r="CF561"/>
  <c r="CE561"/>
  <c r="CD561"/>
  <c r="CC561"/>
  <c r="CB561"/>
  <c r="CA561"/>
  <c r="BZ561"/>
  <c r="BY561"/>
  <c r="BX561"/>
  <c r="BW561"/>
  <c r="BV561"/>
  <c r="BU561"/>
  <c r="BT561"/>
  <c r="BS561"/>
  <c r="BR561"/>
  <c r="BQ561"/>
  <c r="BP561"/>
  <c r="BO561"/>
  <c r="BN561"/>
  <c r="BM561"/>
  <c r="BL561"/>
  <c r="BK561"/>
  <c r="BJ561"/>
  <c r="BI561"/>
  <c r="BH561"/>
  <c r="BG561"/>
  <c r="BF561"/>
  <c r="BE561"/>
  <c r="BD561"/>
  <c r="BC561"/>
  <c r="BB561"/>
  <c r="BA561"/>
  <c r="AZ561"/>
  <c r="AY561"/>
  <c r="AX561"/>
  <c r="AW561"/>
  <c r="AV561"/>
  <c r="AU561"/>
  <c r="AT561"/>
  <c r="AS561"/>
  <c r="AR561"/>
  <c r="AQ561"/>
  <c r="AP561"/>
  <c r="AO561"/>
  <c r="AN561"/>
  <c r="AM561"/>
  <c r="AL561"/>
  <c r="AK561"/>
  <c r="AJ561"/>
  <c r="AI561"/>
  <c r="AH561"/>
  <c r="AG561"/>
  <c r="AF561"/>
  <c r="AE561"/>
  <c r="AD561"/>
  <c r="AC561"/>
  <c r="AB561"/>
  <c r="AA561"/>
  <c r="Z561"/>
  <c r="Y561"/>
  <c r="X561"/>
  <c r="W561"/>
  <c r="V561"/>
  <c r="U561"/>
  <c r="T561"/>
  <c r="S561"/>
  <c r="R561"/>
  <c r="Q561"/>
  <c r="P561"/>
  <c r="O561"/>
  <c r="N561"/>
  <c r="M561"/>
  <c r="L561"/>
  <c r="K561"/>
  <c r="J561"/>
  <c r="I561"/>
  <c r="H561"/>
  <c r="G561"/>
  <c r="F561"/>
  <c r="E561"/>
  <c r="D561"/>
  <c r="C561"/>
  <c r="B561"/>
  <c r="A561"/>
  <c r="CJ560"/>
  <c r="CI560"/>
  <c r="CH560"/>
  <c r="CG560"/>
  <c r="CF560"/>
  <c r="CE560"/>
  <c r="CD560"/>
  <c r="CC560"/>
  <c r="CB560"/>
  <c r="CA560"/>
  <c r="BZ560"/>
  <c r="BY560"/>
  <c r="BX560"/>
  <c r="BW560"/>
  <c r="BV560"/>
  <c r="BU560"/>
  <c r="BT560"/>
  <c r="BS560"/>
  <c r="BR560"/>
  <c r="BQ560"/>
  <c r="BP560"/>
  <c r="BO560"/>
  <c r="BN560"/>
  <c r="BM560"/>
  <c r="BL560"/>
  <c r="BK560"/>
  <c r="BJ560"/>
  <c r="BI560"/>
  <c r="BH560"/>
  <c r="BG560"/>
  <c r="BF560"/>
  <c r="BE560"/>
  <c r="BD560"/>
  <c r="BC560"/>
  <c r="BB560"/>
  <c r="BA560"/>
  <c r="AZ560"/>
  <c r="AY560"/>
  <c r="AX560"/>
  <c r="AW560"/>
  <c r="AV560"/>
  <c r="AU560"/>
  <c r="AT560"/>
  <c r="AS560"/>
  <c r="AR560"/>
  <c r="AQ560"/>
  <c r="AP560"/>
  <c r="AO560"/>
  <c r="AN560"/>
  <c r="AM560"/>
  <c r="AL560"/>
  <c r="AK560"/>
  <c r="AJ560"/>
  <c r="AI560"/>
  <c r="AH560"/>
  <c r="AG560"/>
  <c r="AF560"/>
  <c r="AE560"/>
  <c r="AD560"/>
  <c r="AC560"/>
  <c r="AB560"/>
  <c r="AA560"/>
  <c r="Z560"/>
  <c r="Y560"/>
  <c r="X560"/>
  <c r="W560"/>
  <c r="V560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D560"/>
  <c r="C560"/>
  <c r="B560"/>
  <c r="A560"/>
  <c r="CJ559"/>
  <c r="CI559"/>
  <c r="CH559"/>
  <c r="CG559"/>
  <c r="CF559"/>
  <c r="CE559"/>
  <c r="CD559"/>
  <c r="CC559"/>
  <c r="CB559"/>
  <c r="CA559"/>
  <c r="BZ559"/>
  <c r="BY559"/>
  <c r="BX559"/>
  <c r="BW559"/>
  <c r="BV559"/>
  <c r="BU559"/>
  <c r="BT559"/>
  <c r="BS559"/>
  <c r="BR559"/>
  <c r="BQ559"/>
  <c r="BP559"/>
  <c r="BO559"/>
  <c r="BN559"/>
  <c r="BM559"/>
  <c r="BL559"/>
  <c r="BK559"/>
  <c r="BJ559"/>
  <c r="BI559"/>
  <c r="BH559"/>
  <c r="BG559"/>
  <c r="BF559"/>
  <c r="BE559"/>
  <c r="BD559"/>
  <c r="BC559"/>
  <c r="BB559"/>
  <c r="BA559"/>
  <c r="AZ559"/>
  <c r="AY559"/>
  <c r="AX559"/>
  <c r="AW559"/>
  <c r="AV559"/>
  <c r="AU559"/>
  <c r="AT559"/>
  <c r="AS559"/>
  <c r="AR559"/>
  <c r="AQ559"/>
  <c r="AP559"/>
  <c r="AO559"/>
  <c r="AN559"/>
  <c r="AM559"/>
  <c r="AL559"/>
  <c r="AK559"/>
  <c r="AJ559"/>
  <c r="AI559"/>
  <c r="AH559"/>
  <c r="AG559"/>
  <c r="AF559"/>
  <c r="AE559"/>
  <c r="AD559"/>
  <c r="AC559"/>
  <c r="AB559"/>
  <c r="AA559"/>
  <c r="Z559"/>
  <c r="Y559"/>
  <c r="X559"/>
  <c r="W559"/>
  <c r="V559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D559"/>
  <c r="C559"/>
  <c r="B559"/>
  <c r="A559"/>
  <c r="CJ558"/>
  <c r="CI558"/>
  <c r="CH558"/>
  <c r="CG558"/>
  <c r="CF558"/>
  <c r="CE558"/>
  <c r="CD558"/>
  <c r="CC558"/>
  <c r="CB558"/>
  <c r="CA558"/>
  <c r="BZ558"/>
  <c r="BY558"/>
  <c r="BX558"/>
  <c r="BW558"/>
  <c r="BV558"/>
  <c r="BU558"/>
  <c r="BT558"/>
  <c r="BS558"/>
  <c r="BR558"/>
  <c r="BQ558"/>
  <c r="BP558"/>
  <c r="BO558"/>
  <c r="BN558"/>
  <c r="BM558"/>
  <c r="BL558"/>
  <c r="BK558"/>
  <c r="BJ558"/>
  <c r="BI558"/>
  <c r="BH558"/>
  <c r="BG558"/>
  <c r="BF558"/>
  <c r="BE558"/>
  <c r="BD558"/>
  <c r="BC558"/>
  <c r="BB558"/>
  <c r="BA558"/>
  <c r="AZ558"/>
  <c r="AY558"/>
  <c r="AX558"/>
  <c r="AW558"/>
  <c r="AV558"/>
  <c r="AU558"/>
  <c r="AT558"/>
  <c r="AS558"/>
  <c r="AR558"/>
  <c r="AQ558"/>
  <c r="AP558"/>
  <c r="AO558"/>
  <c r="AN558"/>
  <c r="AM558"/>
  <c r="AL558"/>
  <c r="AK558"/>
  <c r="AJ558"/>
  <c r="AI558"/>
  <c r="AH558"/>
  <c r="AG558"/>
  <c r="AF558"/>
  <c r="AE558"/>
  <c r="AD558"/>
  <c r="AC558"/>
  <c r="AB558"/>
  <c r="AA558"/>
  <c r="Z558"/>
  <c r="Y558"/>
  <c r="X558"/>
  <c r="W558"/>
  <c r="V558"/>
  <c r="U558"/>
  <c r="T558"/>
  <c r="S558"/>
  <c r="R558"/>
  <c r="Q558"/>
  <c r="P558"/>
  <c r="O558"/>
  <c r="N558"/>
  <c r="M558"/>
  <c r="L558"/>
  <c r="K558"/>
  <c r="J558"/>
  <c r="I558"/>
  <c r="H558"/>
  <c r="G558"/>
  <c r="F558"/>
  <c r="E558"/>
  <c r="D558"/>
  <c r="C558"/>
  <c r="B558"/>
  <c r="A558"/>
  <c r="CJ557"/>
  <c r="CI557"/>
  <c r="CH557"/>
  <c r="CG557"/>
  <c r="CF557"/>
  <c r="CE557"/>
  <c r="CD557"/>
  <c r="CC557"/>
  <c r="CB557"/>
  <c r="CA557"/>
  <c r="BZ557"/>
  <c r="BY557"/>
  <c r="BX557"/>
  <c r="BW557"/>
  <c r="BV557"/>
  <c r="BU557"/>
  <c r="BT557"/>
  <c r="BS557"/>
  <c r="BR557"/>
  <c r="BQ557"/>
  <c r="BP557"/>
  <c r="BO557"/>
  <c r="BN557"/>
  <c r="BM557"/>
  <c r="BL557"/>
  <c r="BK557"/>
  <c r="BJ557"/>
  <c r="BI557"/>
  <c r="BH557"/>
  <c r="BG557"/>
  <c r="BF557"/>
  <c r="BE557"/>
  <c r="BD557"/>
  <c r="BC557"/>
  <c r="BB557"/>
  <c r="BA557"/>
  <c r="AZ557"/>
  <c r="AY557"/>
  <c r="AX557"/>
  <c r="AW557"/>
  <c r="AV557"/>
  <c r="AU557"/>
  <c r="AT557"/>
  <c r="AS557"/>
  <c r="AR557"/>
  <c r="AQ557"/>
  <c r="AP557"/>
  <c r="AO557"/>
  <c r="AN557"/>
  <c r="AM557"/>
  <c r="AL557"/>
  <c r="AK557"/>
  <c r="AJ557"/>
  <c r="AI557"/>
  <c r="AH557"/>
  <c r="AG557"/>
  <c r="AF557"/>
  <c r="AE557"/>
  <c r="AD557"/>
  <c r="AC557"/>
  <c r="AB557"/>
  <c r="AA557"/>
  <c r="Z557"/>
  <c r="Y557"/>
  <c r="X557"/>
  <c r="W557"/>
  <c r="V557"/>
  <c r="U557"/>
  <c r="T557"/>
  <c r="S557"/>
  <c r="R557"/>
  <c r="Q557"/>
  <c r="P557"/>
  <c r="O557"/>
  <c r="N557"/>
  <c r="M557"/>
  <c r="L557"/>
  <c r="K557"/>
  <c r="J557"/>
  <c r="I557"/>
  <c r="H557"/>
  <c r="G557"/>
  <c r="F557"/>
  <c r="E557"/>
  <c r="D557"/>
  <c r="C557"/>
  <c r="B557"/>
  <c r="A557"/>
  <c r="CJ556"/>
  <c r="CI556"/>
  <c r="CH556"/>
  <c r="CG556"/>
  <c r="CF556"/>
  <c r="CE556"/>
  <c r="CD556"/>
  <c r="CC556"/>
  <c r="CB556"/>
  <c r="CA556"/>
  <c r="BZ556"/>
  <c r="BY556"/>
  <c r="BX556"/>
  <c r="BW556"/>
  <c r="BV556"/>
  <c r="BU556"/>
  <c r="BT556"/>
  <c r="BS556"/>
  <c r="BR556"/>
  <c r="BQ556"/>
  <c r="BP556"/>
  <c r="BO556"/>
  <c r="BN556"/>
  <c r="BM556"/>
  <c r="BL556"/>
  <c r="BK556"/>
  <c r="BJ556"/>
  <c r="BI556"/>
  <c r="BH556"/>
  <c r="BG556"/>
  <c r="BF556"/>
  <c r="BE556"/>
  <c r="BD556"/>
  <c r="BC556"/>
  <c r="BB556"/>
  <c r="BA556"/>
  <c r="AZ556"/>
  <c r="AY556"/>
  <c r="AX556"/>
  <c r="AW556"/>
  <c r="AV556"/>
  <c r="AU556"/>
  <c r="AT556"/>
  <c r="AS556"/>
  <c r="AR556"/>
  <c r="AQ556"/>
  <c r="AP556"/>
  <c r="AO556"/>
  <c r="AN556"/>
  <c r="AM556"/>
  <c r="AL556"/>
  <c r="AK556"/>
  <c r="AJ556"/>
  <c r="AI556"/>
  <c r="AH556"/>
  <c r="AG556"/>
  <c r="AF556"/>
  <c r="AE556"/>
  <c r="AD556"/>
  <c r="AC556"/>
  <c r="AB556"/>
  <c r="AA556"/>
  <c r="Z556"/>
  <c r="Y556"/>
  <c r="X556"/>
  <c r="W556"/>
  <c r="V556"/>
  <c r="U556"/>
  <c r="T556"/>
  <c r="S556"/>
  <c r="R556"/>
  <c r="Q556"/>
  <c r="P556"/>
  <c r="O556"/>
  <c r="N556"/>
  <c r="M556"/>
  <c r="L556"/>
  <c r="K556"/>
  <c r="J556"/>
  <c r="I556"/>
  <c r="H556"/>
  <c r="G556"/>
  <c r="F556"/>
  <c r="E556"/>
  <c r="D556"/>
  <c r="C556"/>
  <c r="B556"/>
  <c r="A556"/>
  <c r="CJ555"/>
  <c r="CI555"/>
  <c r="CH555"/>
  <c r="CG555"/>
  <c r="CF555"/>
  <c r="CE555"/>
  <c r="CD555"/>
  <c r="CC555"/>
  <c r="CB555"/>
  <c r="CA555"/>
  <c r="BZ555"/>
  <c r="BY555"/>
  <c r="BX555"/>
  <c r="BW555"/>
  <c r="BV555"/>
  <c r="BU555"/>
  <c r="BT555"/>
  <c r="BS555"/>
  <c r="BR555"/>
  <c r="BQ555"/>
  <c r="BP555"/>
  <c r="BO555"/>
  <c r="BN555"/>
  <c r="BM555"/>
  <c r="BL555"/>
  <c r="BK555"/>
  <c r="BJ555"/>
  <c r="BI555"/>
  <c r="BH555"/>
  <c r="BG555"/>
  <c r="BF555"/>
  <c r="BE555"/>
  <c r="BD555"/>
  <c r="BC555"/>
  <c r="BB555"/>
  <c r="BA555"/>
  <c r="AZ555"/>
  <c r="AY555"/>
  <c r="AX555"/>
  <c r="AW555"/>
  <c r="AV555"/>
  <c r="AU555"/>
  <c r="AT555"/>
  <c r="AS555"/>
  <c r="AR555"/>
  <c r="AQ555"/>
  <c r="AP555"/>
  <c r="AO555"/>
  <c r="AN555"/>
  <c r="AM555"/>
  <c r="AL555"/>
  <c r="AK555"/>
  <c r="AJ555"/>
  <c r="AI555"/>
  <c r="AH555"/>
  <c r="AG555"/>
  <c r="AF555"/>
  <c r="AE555"/>
  <c r="AD555"/>
  <c r="AC555"/>
  <c r="AB555"/>
  <c r="AA555"/>
  <c r="Z555"/>
  <c r="Y555"/>
  <c r="X555"/>
  <c r="W555"/>
  <c r="V555"/>
  <c r="U555"/>
  <c r="T555"/>
  <c r="S555"/>
  <c r="R555"/>
  <c r="Q555"/>
  <c r="P555"/>
  <c r="O555"/>
  <c r="N555"/>
  <c r="M555"/>
  <c r="L555"/>
  <c r="K555"/>
  <c r="J555"/>
  <c r="I555"/>
  <c r="H555"/>
  <c r="G555"/>
  <c r="F555"/>
  <c r="E555"/>
  <c r="D555"/>
  <c r="C555"/>
  <c r="B555"/>
  <c r="A555"/>
  <c r="CJ554"/>
  <c r="CI554"/>
  <c r="CH554"/>
  <c r="CG554"/>
  <c r="CF554"/>
  <c r="CE554"/>
  <c r="CD554"/>
  <c r="CC554"/>
  <c r="CB554"/>
  <c r="CA554"/>
  <c r="BZ554"/>
  <c r="BY554"/>
  <c r="BX554"/>
  <c r="BW554"/>
  <c r="BV554"/>
  <c r="BU554"/>
  <c r="BT554"/>
  <c r="BS554"/>
  <c r="BR554"/>
  <c r="BQ554"/>
  <c r="BP554"/>
  <c r="BO554"/>
  <c r="BN554"/>
  <c r="BM554"/>
  <c r="BL554"/>
  <c r="BK554"/>
  <c r="BJ554"/>
  <c r="BI554"/>
  <c r="BH554"/>
  <c r="BG554"/>
  <c r="BF554"/>
  <c r="BE554"/>
  <c r="BD554"/>
  <c r="BC554"/>
  <c r="BB554"/>
  <c r="BA554"/>
  <c r="AZ554"/>
  <c r="AY554"/>
  <c r="AX554"/>
  <c r="AW554"/>
  <c r="AV554"/>
  <c r="AU554"/>
  <c r="AT554"/>
  <c r="AS554"/>
  <c r="AR554"/>
  <c r="AQ554"/>
  <c r="AP554"/>
  <c r="AO554"/>
  <c r="AN554"/>
  <c r="AM554"/>
  <c r="AL554"/>
  <c r="AK554"/>
  <c r="AJ554"/>
  <c r="AI554"/>
  <c r="AH554"/>
  <c r="AG554"/>
  <c r="AF554"/>
  <c r="AE554"/>
  <c r="AD554"/>
  <c r="AC554"/>
  <c r="AB554"/>
  <c r="AA554"/>
  <c r="Z554"/>
  <c r="Y554"/>
  <c r="X554"/>
  <c r="W554"/>
  <c r="V554"/>
  <c r="U554"/>
  <c r="T554"/>
  <c r="S554"/>
  <c r="R554"/>
  <c r="Q554"/>
  <c r="P554"/>
  <c r="O554"/>
  <c r="N554"/>
  <c r="M554"/>
  <c r="L554"/>
  <c r="K554"/>
  <c r="J554"/>
  <c r="I554"/>
  <c r="H554"/>
  <c r="G554"/>
  <c r="F554"/>
  <c r="E554"/>
  <c r="D554"/>
  <c r="C554"/>
  <c r="B554"/>
  <c r="A554"/>
  <c r="CJ553"/>
  <c r="CI553"/>
  <c r="CH553"/>
  <c r="CG553"/>
  <c r="CF553"/>
  <c r="CE553"/>
  <c r="CD553"/>
  <c r="CC553"/>
  <c r="CB553"/>
  <c r="CA553"/>
  <c r="BZ553"/>
  <c r="BY553"/>
  <c r="BX553"/>
  <c r="BW553"/>
  <c r="BV553"/>
  <c r="BU553"/>
  <c r="BT553"/>
  <c r="BS553"/>
  <c r="BR553"/>
  <c r="BQ553"/>
  <c r="BP553"/>
  <c r="BO553"/>
  <c r="BN553"/>
  <c r="BM553"/>
  <c r="BL553"/>
  <c r="BK553"/>
  <c r="BJ553"/>
  <c r="BI553"/>
  <c r="BH553"/>
  <c r="BG553"/>
  <c r="BF553"/>
  <c r="BE553"/>
  <c r="BD553"/>
  <c r="BC553"/>
  <c r="BB553"/>
  <c r="BA553"/>
  <c r="AZ553"/>
  <c r="AY553"/>
  <c r="AX553"/>
  <c r="AW553"/>
  <c r="AV553"/>
  <c r="AU553"/>
  <c r="AT553"/>
  <c r="AS553"/>
  <c r="AR553"/>
  <c r="AQ553"/>
  <c r="AP553"/>
  <c r="AO553"/>
  <c r="AN553"/>
  <c r="AM553"/>
  <c r="AL553"/>
  <c r="AK553"/>
  <c r="AJ553"/>
  <c r="AI553"/>
  <c r="AH553"/>
  <c r="AG553"/>
  <c r="AF553"/>
  <c r="AE553"/>
  <c r="AD553"/>
  <c r="AC553"/>
  <c r="AB553"/>
  <c r="AA553"/>
  <c r="Z553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H553"/>
  <c r="G553"/>
  <c r="F553"/>
  <c r="E553"/>
  <c r="D553"/>
  <c r="C553"/>
  <c r="B553"/>
  <c r="A553"/>
  <c r="CJ552"/>
  <c r="CI552"/>
  <c r="CH552"/>
  <c r="CG552"/>
  <c r="CF552"/>
  <c r="CE552"/>
  <c r="CD552"/>
  <c r="CC552"/>
  <c r="CB552"/>
  <c r="CA552"/>
  <c r="BZ552"/>
  <c r="BY552"/>
  <c r="BX552"/>
  <c r="BW552"/>
  <c r="BV552"/>
  <c r="BU552"/>
  <c r="BT552"/>
  <c r="BS552"/>
  <c r="BR552"/>
  <c r="BQ552"/>
  <c r="BP552"/>
  <c r="BO552"/>
  <c r="BN552"/>
  <c r="BM552"/>
  <c r="BL552"/>
  <c r="BK552"/>
  <c r="BJ552"/>
  <c r="BI552"/>
  <c r="BH552"/>
  <c r="BG552"/>
  <c r="BF552"/>
  <c r="BE552"/>
  <c r="BD552"/>
  <c r="BC552"/>
  <c r="BB552"/>
  <c r="BA552"/>
  <c r="AZ552"/>
  <c r="AY552"/>
  <c r="AX552"/>
  <c r="AW552"/>
  <c r="AV552"/>
  <c r="AU552"/>
  <c r="AT552"/>
  <c r="AS552"/>
  <c r="AR552"/>
  <c r="AQ552"/>
  <c r="AP552"/>
  <c r="AO552"/>
  <c r="AN552"/>
  <c r="AM552"/>
  <c r="AL552"/>
  <c r="AK552"/>
  <c r="AJ552"/>
  <c r="AI552"/>
  <c r="AH552"/>
  <c r="AG552"/>
  <c r="AF552"/>
  <c r="AE552"/>
  <c r="AD552"/>
  <c r="AC552"/>
  <c r="AB552"/>
  <c r="AA552"/>
  <c r="Z552"/>
  <c r="Y552"/>
  <c r="X552"/>
  <c r="W552"/>
  <c r="V552"/>
  <c r="U552"/>
  <c r="T552"/>
  <c r="S552"/>
  <c r="R552"/>
  <c r="Q552"/>
  <c r="P552"/>
  <c r="O552"/>
  <c r="N552"/>
  <c r="M552"/>
  <c r="L552"/>
  <c r="K552"/>
  <c r="J552"/>
  <c r="I552"/>
  <c r="H552"/>
  <c r="G552"/>
  <c r="F552"/>
  <c r="E552"/>
  <c r="D552"/>
  <c r="C552"/>
  <c r="B552"/>
  <c r="A552"/>
  <c r="CJ551"/>
  <c r="CI551"/>
  <c r="CH551"/>
  <c r="CG551"/>
  <c r="CF551"/>
  <c r="CE551"/>
  <c r="CD551"/>
  <c r="CC551"/>
  <c r="CB551"/>
  <c r="CA551"/>
  <c r="BZ551"/>
  <c r="BY551"/>
  <c r="BX551"/>
  <c r="BW551"/>
  <c r="BV551"/>
  <c r="BU551"/>
  <c r="BT551"/>
  <c r="BS551"/>
  <c r="BR551"/>
  <c r="BQ551"/>
  <c r="BP551"/>
  <c r="BO551"/>
  <c r="BN551"/>
  <c r="BM551"/>
  <c r="BL551"/>
  <c r="BK551"/>
  <c r="BJ551"/>
  <c r="BI551"/>
  <c r="BH551"/>
  <c r="BG551"/>
  <c r="BF551"/>
  <c r="BE551"/>
  <c r="BD551"/>
  <c r="BC551"/>
  <c r="BB551"/>
  <c r="BA551"/>
  <c r="AZ551"/>
  <c r="AY551"/>
  <c r="AX551"/>
  <c r="AW551"/>
  <c r="AV551"/>
  <c r="AU551"/>
  <c r="AT551"/>
  <c r="AS551"/>
  <c r="AR551"/>
  <c r="AQ551"/>
  <c r="AP551"/>
  <c r="AO551"/>
  <c r="AN551"/>
  <c r="AM551"/>
  <c r="AL551"/>
  <c r="AK551"/>
  <c r="AJ551"/>
  <c r="AI551"/>
  <c r="AH551"/>
  <c r="AG551"/>
  <c r="AF551"/>
  <c r="AE551"/>
  <c r="AD551"/>
  <c r="AC551"/>
  <c r="AB551"/>
  <c r="AA551"/>
  <c r="Z551"/>
  <c r="Y551"/>
  <c r="X551"/>
  <c r="W551"/>
  <c r="V551"/>
  <c r="U551"/>
  <c r="T551"/>
  <c r="S551"/>
  <c r="R551"/>
  <c r="Q551"/>
  <c r="P551"/>
  <c r="O551"/>
  <c r="N551"/>
  <c r="M551"/>
  <c r="L551"/>
  <c r="K551"/>
  <c r="J551"/>
  <c r="I551"/>
  <c r="H551"/>
  <c r="G551"/>
  <c r="F551"/>
  <c r="E551"/>
  <c r="D551"/>
  <c r="C551"/>
  <c r="B551"/>
  <c r="A551"/>
  <c r="CJ550"/>
  <c r="CI550"/>
  <c r="CH550"/>
  <c r="CG550"/>
  <c r="CF550"/>
  <c r="CE550"/>
  <c r="CD550"/>
  <c r="CC550"/>
  <c r="CB550"/>
  <c r="CA550"/>
  <c r="BZ550"/>
  <c r="BY550"/>
  <c r="BX550"/>
  <c r="BW550"/>
  <c r="BV550"/>
  <c r="BU550"/>
  <c r="BT550"/>
  <c r="BS550"/>
  <c r="BR550"/>
  <c r="BQ550"/>
  <c r="BP550"/>
  <c r="BO550"/>
  <c r="BN550"/>
  <c r="BM550"/>
  <c r="BL550"/>
  <c r="BK550"/>
  <c r="BJ550"/>
  <c r="BI550"/>
  <c r="BH550"/>
  <c r="BG550"/>
  <c r="BF550"/>
  <c r="BE550"/>
  <c r="BD550"/>
  <c r="BC550"/>
  <c r="BB550"/>
  <c r="BA550"/>
  <c r="AZ550"/>
  <c r="AY550"/>
  <c r="AX550"/>
  <c r="AW550"/>
  <c r="AV550"/>
  <c r="AU550"/>
  <c r="AT550"/>
  <c r="AS550"/>
  <c r="AR550"/>
  <c r="AQ550"/>
  <c r="AP550"/>
  <c r="AO550"/>
  <c r="AN550"/>
  <c r="AM550"/>
  <c r="AL550"/>
  <c r="AK550"/>
  <c r="AJ550"/>
  <c r="AI550"/>
  <c r="AH550"/>
  <c r="AG550"/>
  <c r="AF550"/>
  <c r="AE550"/>
  <c r="AD550"/>
  <c r="AC550"/>
  <c r="AB550"/>
  <c r="AA550"/>
  <c r="Z550"/>
  <c r="Y550"/>
  <c r="X550"/>
  <c r="W550"/>
  <c r="V550"/>
  <c r="U550"/>
  <c r="T550"/>
  <c r="S550"/>
  <c r="R550"/>
  <c r="Q550"/>
  <c r="P550"/>
  <c r="O550"/>
  <c r="N550"/>
  <c r="M550"/>
  <c r="L550"/>
  <c r="K550"/>
  <c r="J550"/>
  <c r="I550"/>
  <c r="H550"/>
  <c r="G550"/>
  <c r="F550"/>
  <c r="E550"/>
  <c r="D550"/>
  <c r="C550"/>
  <c r="B550"/>
  <c r="A550"/>
  <c r="CJ549"/>
  <c r="CI549"/>
  <c r="CH549"/>
  <c r="CG549"/>
  <c r="CF549"/>
  <c r="CE549"/>
  <c r="CD549"/>
  <c r="CC549"/>
  <c r="CB549"/>
  <c r="CA549"/>
  <c r="BZ549"/>
  <c r="BY549"/>
  <c r="BX549"/>
  <c r="BW549"/>
  <c r="BV549"/>
  <c r="BU549"/>
  <c r="BT549"/>
  <c r="BS549"/>
  <c r="BR549"/>
  <c r="BQ549"/>
  <c r="BP549"/>
  <c r="BO549"/>
  <c r="BN549"/>
  <c r="BM549"/>
  <c r="BL549"/>
  <c r="BK549"/>
  <c r="BJ549"/>
  <c r="BI549"/>
  <c r="BH549"/>
  <c r="BG549"/>
  <c r="BF549"/>
  <c r="BE549"/>
  <c r="BD549"/>
  <c r="BC549"/>
  <c r="BB549"/>
  <c r="BA549"/>
  <c r="AZ549"/>
  <c r="AY549"/>
  <c r="AX549"/>
  <c r="AW549"/>
  <c r="AV549"/>
  <c r="AU549"/>
  <c r="AT549"/>
  <c r="AS549"/>
  <c r="AR549"/>
  <c r="AQ549"/>
  <c r="AP549"/>
  <c r="AO549"/>
  <c r="AN549"/>
  <c r="AM549"/>
  <c r="AL549"/>
  <c r="AK549"/>
  <c r="AJ549"/>
  <c r="AI549"/>
  <c r="AH549"/>
  <c r="AG549"/>
  <c r="AF549"/>
  <c r="AE549"/>
  <c r="AD549"/>
  <c r="AC549"/>
  <c r="AB549"/>
  <c r="AA549"/>
  <c r="Z549"/>
  <c r="Y549"/>
  <c r="X549"/>
  <c r="W549"/>
  <c r="V549"/>
  <c r="U549"/>
  <c r="T549"/>
  <c r="S549"/>
  <c r="R549"/>
  <c r="Q549"/>
  <c r="P549"/>
  <c r="O549"/>
  <c r="N549"/>
  <c r="M549"/>
  <c r="L549"/>
  <c r="K549"/>
  <c r="J549"/>
  <c r="I549"/>
  <c r="H549"/>
  <c r="G549"/>
  <c r="F549"/>
  <c r="E549"/>
  <c r="D549"/>
  <c r="C549"/>
  <c r="B549"/>
  <c r="A549"/>
  <c r="CJ548"/>
  <c r="CI548"/>
  <c r="CH548"/>
  <c r="CG548"/>
  <c r="CF548"/>
  <c r="CE548"/>
  <c r="CD548"/>
  <c r="CC548"/>
  <c r="CB548"/>
  <c r="CA548"/>
  <c r="BZ548"/>
  <c r="BY548"/>
  <c r="BX548"/>
  <c r="BW548"/>
  <c r="BV548"/>
  <c r="BU548"/>
  <c r="BT548"/>
  <c r="BS548"/>
  <c r="BR548"/>
  <c r="BQ548"/>
  <c r="BP548"/>
  <c r="BO548"/>
  <c r="BN548"/>
  <c r="BM548"/>
  <c r="BL548"/>
  <c r="BK548"/>
  <c r="BJ548"/>
  <c r="BI548"/>
  <c r="BH548"/>
  <c r="BG548"/>
  <c r="BF548"/>
  <c r="BE548"/>
  <c r="BD548"/>
  <c r="BC548"/>
  <c r="BB548"/>
  <c r="BA548"/>
  <c r="AZ548"/>
  <c r="AY548"/>
  <c r="AX548"/>
  <c r="AW548"/>
  <c r="AV548"/>
  <c r="AU548"/>
  <c r="AT548"/>
  <c r="AS548"/>
  <c r="AR548"/>
  <c r="AQ548"/>
  <c r="AP548"/>
  <c r="AO548"/>
  <c r="AN548"/>
  <c r="AM548"/>
  <c r="AL548"/>
  <c r="AK548"/>
  <c r="AJ548"/>
  <c r="AI548"/>
  <c r="AH548"/>
  <c r="AG548"/>
  <c r="AF548"/>
  <c r="AE548"/>
  <c r="AD548"/>
  <c r="AC548"/>
  <c r="AB548"/>
  <c r="AA548"/>
  <c r="Z548"/>
  <c r="Y548"/>
  <c r="X548"/>
  <c r="W548"/>
  <c r="V548"/>
  <c r="U548"/>
  <c r="T548"/>
  <c r="S548"/>
  <c r="R548"/>
  <c r="Q548"/>
  <c r="P548"/>
  <c r="O548"/>
  <c r="N548"/>
  <c r="M548"/>
  <c r="L548"/>
  <c r="K548"/>
  <c r="J548"/>
  <c r="I548"/>
  <c r="H548"/>
  <c r="G548"/>
  <c r="F548"/>
  <c r="E548"/>
  <c r="D548"/>
  <c r="C548"/>
  <c r="B548"/>
  <c r="A548"/>
  <c r="CJ547"/>
  <c r="CI547"/>
  <c r="CH547"/>
  <c r="CG547"/>
  <c r="CF547"/>
  <c r="CE547"/>
  <c r="CD547"/>
  <c r="CC547"/>
  <c r="CB547"/>
  <c r="CA547"/>
  <c r="BZ547"/>
  <c r="BY547"/>
  <c r="BX547"/>
  <c r="BW547"/>
  <c r="BV547"/>
  <c r="BU547"/>
  <c r="BT547"/>
  <c r="BS547"/>
  <c r="BR547"/>
  <c r="BQ547"/>
  <c r="BP547"/>
  <c r="BO547"/>
  <c r="BN547"/>
  <c r="BM547"/>
  <c r="BL547"/>
  <c r="BK547"/>
  <c r="BJ547"/>
  <c r="BI547"/>
  <c r="BH547"/>
  <c r="BG547"/>
  <c r="BF547"/>
  <c r="BE547"/>
  <c r="BD547"/>
  <c r="BC547"/>
  <c r="BB547"/>
  <c r="BA547"/>
  <c r="AZ547"/>
  <c r="AY547"/>
  <c r="AX547"/>
  <c r="AW547"/>
  <c r="AV547"/>
  <c r="AU547"/>
  <c r="AT547"/>
  <c r="AS547"/>
  <c r="AR547"/>
  <c r="AQ547"/>
  <c r="AP547"/>
  <c r="AO547"/>
  <c r="AN547"/>
  <c r="AM547"/>
  <c r="AL547"/>
  <c r="AK547"/>
  <c r="AJ547"/>
  <c r="AI547"/>
  <c r="AH547"/>
  <c r="AG547"/>
  <c r="AF547"/>
  <c r="AE547"/>
  <c r="AD547"/>
  <c r="AC547"/>
  <c r="AB547"/>
  <c r="AA547"/>
  <c r="Z547"/>
  <c r="Y547"/>
  <c r="X547"/>
  <c r="W547"/>
  <c r="V547"/>
  <c r="U547"/>
  <c r="T547"/>
  <c r="S547"/>
  <c r="R547"/>
  <c r="Q547"/>
  <c r="P547"/>
  <c r="O547"/>
  <c r="N547"/>
  <c r="M547"/>
  <c r="L547"/>
  <c r="K547"/>
  <c r="J547"/>
  <c r="I547"/>
  <c r="H547"/>
  <c r="G547"/>
  <c r="F547"/>
  <c r="E547"/>
  <c r="D547"/>
  <c r="C547"/>
  <c r="B547"/>
  <c r="A547"/>
  <c r="CJ546"/>
  <c r="CI546"/>
  <c r="CH546"/>
  <c r="CG546"/>
  <c r="CF546"/>
  <c r="CE546"/>
  <c r="CD546"/>
  <c r="CC546"/>
  <c r="CB546"/>
  <c r="CA546"/>
  <c r="BZ546"/>
  <c r="BY546"/>
  <c r="BX546"/>
  <c r="BW546"/>
  <c r="BV546"/>
  <c r="BU546"/>
  <c r="BT546"/>
  <c r="BS546"/>
  <c r="BR546"/>
  <c r="BQ546"/>
  <c r="BP546"/>
  <c r="BO546"/>
  <c r="BN546"/>
  <c r="BM546"/>
  <c r="BL546"/>
  <c r="BK546"/>
  <c r="BJ546"/>
  <c r="BI546"/>
  <c r="BH546"/>
  <c r="BG546"/>
  <c r="BF546"/>
  <c r="BE546"/>
  <c r="BD546"/>
  <c r="BC546"/>
  <c r="BB546"/>
  <c r="BA546"/>
  <c r="AZ546"/>
  <c r="AY546"/>
  <c r="AX546"/>
  <c r="AW546"/>
  <c r="AV546"/>
  <c r="AU546"/>
  <c r="AT546"/>
  <c r="AS546"/>
  <c r="AR546"/>
  <c r="AQ546"/>
  <c r="AP546"/>
  <c r="AO546"/>
  <c r="AN546"/>
  <c r="AM546"/>
  <c r="AL546"/>
  <c r="AK546"/>
  <c r="AJ546"/>
  <c r="AI546"/>
  <c r="AH546"/>
  <c r="AG546"/>
  <c r="AF546"/>
  <c r="AE546"/>
  <c r="AD546"/>
  <c r="AC546"/>
  <c r="AB546"/>
  <c r="AA546"/>
  <c r="Z546"/>
  <c r="Y546"/>
  <c r="X546"/>
  <c r="W546"/>
  <c r="V546"/>
  <c r="U546"/>
  <c r="T546"/>
  <c r="S546"/>
  <c r="R546"/>
  <c r="Q546"/>
  <c r="P546"/>
  <c r="O546"/>
  <c r="N546"/>
  <c r="M546"/>
  <c r="L546"/>
  <c r="K546"/>
  <c r="J546"/>
  <c r="I546"/>
  <c r="H546"/>
  <c r="G546"/>
  <c r="F546"/>
  <c r="E546"/>
  <c r="D546"/>
  <c r="C546"/>
  <c r="B546"/>
  <c r="A546"/>
  <c r="CJ545"/>
  <c r="CI545"/>
  <c r="CH545"/>
  <c r="CG545"/>
  <c r="CF545"/>
  <c r="CE545"/>
  <c r="CD545"/>
  <c r="CC545"/>
  <c r="CB545"/>
  <c r="CA545"/>
  <c r="BZ545"/>
  <c r="BY545"/>
  <c r="BX545"/>
  <c r="BW545"/>
  <c r="BV545"/>
  <c r="BU545"/>
  <c r="BT545"/>
  <c r="BS545"/>
  <c r="BR545"/>
  <c r="BQ545"/>
  <c r="BP545"/>
  <c r="BO545"/>
  <c r="BN545"/>
  <c r="BM545"/>
  <c r="BL545"/>
  <c r="BK545"/>
  <c r="BJ545"/>
  <c r="BI545"/>
  <c r="BH545"/>
  <c r="BG545"/>
  <c r="BF545"/>
  <c r="BE545"/>
  <c r="BD545"/>
  <c r="BC545"/>
  <c r="BB545"/>
  <c r="BA545"/>
  <c r="AZ545"/>
  <c r="AY545"/>
  <c r="AX545"/>
  <c r="AW545"/>
  <c r="AV545"/>
  <c r="AU545"/>
  <c r="AT545"/>
  <c r="AS545"/>
  <c r="AR545"/>
  <c r="AQ545"/>
  <c r="AP545"/>
  <c r="AO545"/>
  <c r="AN545"/>
  <c r="AM545"/>
  <c r="AL545"/>
  <c r="AK545"/>
  <c r="AJ545"/>
  <c r="AI545"/>
  <c r="AH545"/>
  <c r="AG545"/>
  <c r="AF545"/>
  <c r="AE545"/>
  <c r="AD545"/>
  <c r="AC545"/>
  <c r="AB545"/>
  <c r="AA545"/>
  <c r="Z545"/>
  <c r="Y545"/>
  <c r="X545"/>
  <c r="W545"/>
  <c r="V545"/>
  <c r="U545"/>
  <c r="T545"/>
  <c r="S545"/>
  <c r="R545"/>
  <c r="Q545"/>
  <c r="P545"/>
  <c r="O545"/>
  <c r="N545"/>
  <c r="M545"/>
  <c r="L545"/>
  <c r="K545"/>
  <c r="J545"/>
  <c r="I545"/>
  <c r="H545"/>
  <c r="G545"/>
  <c r="F545"/>
  <c r="E545"/>
  <c r="D545"/>
  <c r="C545"/>
  <c r="B545"/>
  <c r="A545"/>
  <c r="CJ544"/>
  <c r="CI544"/>
  <c r="CH544"/>
  <c r="CG544"/>
  <c r="CF544"/>
  <c r="CE544"/>
  <c r="CD544"/>
  <c r="CC544"/>
  <c r="CB544"/>
  <c r="CA544"/>
  <c r="BZ544"/>
  <c r="BY544"/>
  <c r="BX544"/>
  <c r="BW544"/>
  <c r="BV544"/>
  <c r="BU544"/>
  <c r="BT544"/>
  <c r="BS544"/>
  <c r="BR544"/>
  <c r="BQ544"/>
  <c r="BP544"/>
  <c r="BO544"/>
  <c r="BN544"/>
  <c r="BM544"/>
  <c r="BL544"/>
  <c r="BK544"/>
  <c r="BJ544"/>
  <c r="BI544"/>
  <c r="BH544"/>
  <c r="BG544"/>
  <c r="BF544"/>
  <c r="BE544"/>
  <c r="BD544"/>
  <c r="BC544"/>
  <c r="BB544"/>
  <c r="BA544"/>
  <c r="AZ544"/>
  <c r="AY544"/>
  <c r="AX544"/>
  <c r="AW544"/>
  <c r="AV544"/>
  <c r="AU544"/>
  <c r="AT544"/>
  <c r="AS544"/>
  <c r="AR544"/>
  <c r="AQ544"/>
  <c r="AP544"/>
  <c r="AO544"/>
  <c r="AN544"/>
  <c r="AM544"/>
  <c r="AL544"/>
  <c r="AK544"/>
  <c r="AJ544"/>
  <c r="AI544"/>
  <c r="AH544"/>
  <c r="AG544"/>
  <c r="AF544"/>
  <c r="AE544"/>
  <c r="AD544"/>
  <c r="AC544"/>
  <c r="AB544"/>
  <c r="AA544"/>
  <c r="Z544"/>
  <c r="Y544"/>
  <c r="X544"/>
  <c r="W544"/>
  <c r="V544"/>
  <c r="U544"/>
  <c r="T544"/>
  <c r="S544"/>
  <c r="R544"/>
  <c r="Q544"/>
  <c r="P544"/>
  <c r="O544"/>
  <c r="N544"/>
  <c r="M544"/>
  <c r="L544"/>
  <c r="K544"/>
  <c r="J544"/>
  <c r="I544"/>
  <c r="H544"/>
  <c r="G544"/>
  <c r="F544"/>
  <c r="E544"/>
  <c r="D544"/>
  <c r="C544"/>
  <c r="B544"/>
  <c r="A544"/>
  <c r="CJ543"/>
  <c r="CI543"/>
  <c r="CH543"/>
  <c r="CG543"/>
  <c r="CF543"/>
  <c r="CE543"/>
  <c r="CD543"/>
  <c r="CC543"/>
  <c r="CB543"/>
  <c r="CA543"/>
  <c r="BZ543"/>
  <c r="BY543"/>
  <c r="BX543"/>
  <c r="BW543"/>
  <c r="BV543"/>
  <c r="BU543"/>
  <c r="BT543"/>
  <c r="BS543"/>
  <c r="BR543"/>
  <c r="BQ543"/>
  <c r="BP543"/>
  <c r="BO543"/>
  <c r="BN543"/>
  <c r="BM543"/>
  <c r="BL543"/>
  <c r="BK543"/>
  <c r="BJ543"/>
  <c r="BI543"/>
  <c r="BH543"/>
  <c r="BG543"/>
  <c r="BF543"/>
  <c r="BE543"/>
  <c r="BD543"/>
  <c r="BC543"/>
  <c r="BB543"/>
  <c r="BA543"/>
  <c r="AZ543"/>
  <c r="AY543"/>
  <c r="AX543"/>
  <c r="AW543"/>
  <c r="AV543"/>
  <c r="AU543"/>
  <c r="AT543"/>
  <c r="AS543"/>
  <c r="AR543"/>
  <c r="AQ543"/>
  <c r="AP543"/>
  <c r="AO543"/>
  <c r="AN543"/>
  <c r="AM543"/>
  <c r="AL543"/>
  <c r="AK543"/>
  <c r="AJ543"/>
  <c r="AI543"/>
  <c r="AH543"/>
  <c r="AG543"/>
  <c r="AF543"/>
  <c r="AE543"/>
  <c r="AD543"/>
  <c r="AC543"/>
  <c r="AB543"/>
  <c r="AA543"/>
  <c r="Z543"/>
  <c r="Y543"/>
  <c r="X543"/>
  <c r="W543"/>
  <c r="V543"/>
  <c r="U543"/>
  <c r="T543"/>
  <c r="S543"/>
  <c r="R543"/>
  <c r="Q543"/>
  <c r="P543"/>
  <c r="O543"/>
  <c r="N543"/>
  <c r="M543"/>
  <c r="L543"/>
  <c r="K543"/>
  <c r="J543"/>
  <c r="I543"/>
  <c r="H543"/>
  <c r="G543"/>
  <c r="F543"/>
  <c r="E543"/>
  <c r="D543"/>
  <c r="C543"/>
  <c r="B543"/>
  <c r="A543"/>
  <c r="CJ542"/>
  <c r="CI542"/>
  <c r="CH542"/>
  <c r="CG542"/>
  <c r="CF542"/>
  <c r="CE542"/>
  <c r="CD542"/>
  <c r="CC542"/>
  <c r="CB542"/>
  <c r="CA542"/>
  <c r="BZ542"/>
  <c r="BY542"/>
  <c r="BX542"/>
  <c r="BW542"/>
  <c r="BV542"/>
  <c r="BU542"/>
  <c r="BT542"/>
  <c r="BS542"/>
  <c r="BR542"/>
  <c r="BQ542"/>
  <c r="BP542"/>
  <c r="BO542"/>
  <c r="BN542"/>
  <c r="BM542"/>
  <c r="BL542"/>
  <c r="BK542"/>
  <c r="BJ542"/>
  <c r="BI542"/>
  <c r="BH542"/>
  <c r="BG542"/>
  <c r="BF542"/>
  <c r="BE542"/>
  <c r="BD542"/>
  <c r="BC542"/>
  <c r="BB542"/>
  <c r="BA542"/>
  <c r="AZ542"/>
  <c r="AY542"/>
  <c r="AX542"/>
  <c r="AW542"/>
  <c r="AV542"/>
  <c r="AU542"/>
  <c r="AT542"/>
  <c r="AS542"/>
  <c r="AR542"/>
  <c r="AQ542"/>
  <c r="AP542"/>
  <c r="AO542"/>
  <c r="AN542"/>
  <c r="AM542"/>
  <c r="AL542"/>
  <c r="AK542"/>
  <c r="AJ542"/>
  <c r="AI542"/>
  <c r="AH542"/>
  <c r="AG542"/>
  <c r="AF542"/>
  <c r="AE542"/>
  <c r="AD542"/>
  <c r="AC542"/>
  <c r="AB542"/>
  <c r="AA542"/>
  <c r="Z542"/>
  <c r="Y542"/>
  <c r="X542"/>
  <c r="W542"/>
  <c r="V542"/>
  <c r="U542"/>
  <c r="T542"/>
  <c r="S542"/>
  <c r="R542"/>
  <c r="Q542"/>
  <c r="P542"/>
  <c r="O542"/>
  <c r="N542"/>
  <c r="M542"/>
  <c r="L542"/>
  <c r="K542"/>
  <c r="J542"/>
  <c r="I542"/>
  <c r="H542"/>
  <c r="G542"/>
  <c r="F542"/>
  <c r="E542"/>
  <c r="D542"/>
  <c r="C542"/>
  <c r="B542"/>
  <c r="A542"/>
  <c r="CJ541"/>
  <c r="CI541"/>
  <c r="CH541"/>
  <c r="CG541"/>
  <c r="CF541"/>
  <c r="CE541"/>
  <c r="CD541"/>
  <c r="CC541"/>
  <c r="CB541"/>
  <c r="CA541"/>
  <c r="BZ541"/>
  <c r="BY541"/>
  <c r="BX541"/>
  <c r="BW541"/>
  <c r="BV541"/>
  <c r="BU541"/>
  <c r="BT541"/>
  <c r="BS541"/>
  <c r="BR541"/>
  <c r="BQ541"/>
  <c r="BP541"/>
  <c r="BO541"/>
  <c r="BN541"/>
  <c r="BM541"/>
  <c r="BL541"/>
  <c r="BK541"/>
  <c r="BJ541"/>
  <c r="BI541"/>
  <c r="BH541"/>
  <c r="BG541"/>
  <c r="BF541"/>
  <c r="BE541"/>
  <c r="BD541"/>
  <c r="BC541"/>
  <c r="BB541"/>
  <c r="BA541"/>
  <c r="AZ541"/>
  <c r="AY541"/>
  <c r="AX541"/>
  <c r="AW541"/>
  <c r="AV541"/>
  <c r="AU541"/>
  <c r="AT541"/>
  <c r="AS541"/>
  <c r="AR541"/>
  <c r="AQ541"/>
  <c r="AP541"/>
  <c r="AO541"/>
  <c r="AN541"/>
  <c r="AM541"/>
  <c r="AL541"/>
  <c r="AK541"/>
  <c r="AJ541"/>
  <c r="AI541"/>
  <c r="AH541"/>
  <c r="AG541"/>
  <c r="AF541"/>
  <c r="AE541"/>
  <c r="AD541"/>
  <c r="AC541"/>
  <c r="AB541"/>
  <c r="AA541"/>
  <c r="Z541"/>
  <c r="Y541"/>
  <c r="X541"/>
  <c r="W541"/>
  <c r="V541"/>
  <c r="U541"/>
  <c r="T541"/>
  <c r="S541"/>
  <c r="R541"/>
  <c r="Q541"/>
  <c r="P541"/>
  <c r="O541"/>
  <c r="N541"/>
  <c r="M541"/>
  <c r="L541"/>
  <c r="K541"/>
  <c r="J541"/>
  <c r="I541"/>
  <c r="H541"/>
  <c r="G541"/>
  <c r="F541"/>
  <c r="E541"/>
  <c r="D541"/>
  <c r="C541"/>
  <c r="B541"/>
  <c r="A541"/>
  <c r="CJ540"/>
  <c r="CI540"/>
  <c r="CH540"/>
  <c r="CG540"/>
  <c r="CF540"/>
  <c r="CE540"/>
  <c r="CD540"/>
  <c r="CC540"/>
  <c r="CB540"/>
  <c r="CA540"/>
  <c r="BZ540"/>
  <c r="BY540"/>
  <c r="BX540"/>
  <c r="BW540"/>
  <c r="BV540"/>
  <c r="BU540"/>
  <c r="BT540"/>
  <c r="BS540"/>
  <c r="BR540"/>
  <c r="BQ540"/>
  <c r="BP540"/>
  <c r="BO540"/>
  <c r="BN540"/>
  <c r="BM540"/>
  <c r="BL540"/>
  <c r="BK540"/>
  <c r="BJ540"/>
  <c r="BI540"/>
  <c r="BH540"/>
  <c r="BG540"/>
  <c r="BF540"/>
  <c r="BE540"/>
  <c r="BD540"/>
  <c r="BC540"/>
  <c r="BB540"/>
  <c r="BA540"/>
  <c r="AZ540"/>
  <c r="AY540"/>
  <c r="AX540"/>
  <c r="AW540"/>
  <c r="AV540"/>
  <c r="AU540"/>
  <c r="AT540"/>
  <c r="AS540"/>
  <c r="AR540"/>
  <c r="AQ540"/>
  <c r="AP540"/>
  <c r="AO540"/>
  <c r="AN540"/>
  <c r="AM540"/>
  <c r="AL540"/>
  <c r="AK540"/>
  <c r="AJ540"/>
  <c r="AI540"/>
  <c r="AH540"/>
  <c r="AG540"/>
  <c r="AF540"/>
  <c r="AE540"/>
  <c r="AD540"/>
  <c r="AC540"/>
  <c r="AB540"/>
  <c r="AA540"/>
  <c r="Z540"/>
  <c r="Y540"/>
  <c r="X540"/>
  <c r="W540"/>
  <c r="V540"/>
  <c r="U540"/>
  <c r="T540"/>
  <c r="S540"/>
  <c r="R540"/>
  <c r="Q540"/>
  <c r="P540"/>
  <c r="O540"/>
  <c r="N540"/>
  <c r="M540"/>
  <c r="L540"/>
  <c r="K540"/>
  <c r="J540"/>
  <c r="I540"/>
  <c r="H540"/>
  <c r="G540"/>
  <c r="F540"/>
  <c r="E540"/>
  <c r="D540"/>
  <c r="C540"/>
  <c r="B540"/>
  <c r="A540"/>
  <c r="CJ539"/>
  <c r="CI539"/>
  <c r="CH539"/>
  <c r="CG539"/>
  <c r="CF539"/>
  <c r="CE539"/>
  <c r="CD539"/>
  <c r="CC539"/>
  <c r="CB539"/>
  <c r="CA539"/>
  <c r="BZ539"/>
  <c r="BY539"/>
  <c r="BX539"/>
  <c r="BW539"/>
  <c r="BV539"/>
  <c r="BU539"/>
  <c r="BT539"/>
  <c r="BS539"/>
  <c r="BR539"/>
  <c r="BQ539"/>
  <c r="BP539"/>
  <c r="BO539"/>
  <c r="BN539"/>
  <c r="BM539"/>
  <c r="BL539"/>
  <c r="BK539"/>
  <c r="BJ539"/>
  <c r="BI539"/>
  <c r="BH539"/>
  <c r="BG539"/>
  <c r="BF539"/>
  <c r="BE539"/>
  <c r="BD539"/>
  <c r="BC539"/>
  <c r="BB539"/>
  <c r="BA539"/>
  <c r="AZ539"/>
  <c r="AY539"/>
  <c r="AX539"/>
  <c r="AW539"/>
  <c r="AV539"/>
  <c r="AU539"/>
  <c r="AT539"/>
  <c r="AS539"/>
  <c r="AR539"/>
  <c r="AQ539"/>
  <c r="AP539"/>
  <c r="AO539"/>
  <c r="AN539"/>
  <c r="AM539"/>
  <c r="AL539"/>
  <c r="AK539"/>
  <c r="AJ539"/>
  <c r="AI539"/>
  <c r="AH539"/>
  <c r="AG539"/>
  <c r="AF539"/>
  <c r="AE539"/>
  <c r="AD539"/>
  <c r="AC539"/>
  <c r="AB539"/>
  <c r="AA539"/>
  <c r="Z539"/>
  <c r="Y539"/>
  <c r="X539"/>
  <c r="W539"/>
  <c r="V539"/>
  <c r="U539"/>
  <c r="T539"/>
  <c r="S539"/>
  <c r="R539"/>
  <c r="Q539"/>
  <c r="P539"/>
  <c r="O539"/>
  <c r="N539"/>
  <c r="M539"/>
  <c r="L539"/>
  <c r="K539"/>
  <c r="J539"/>
  <c r="I539"/>
  <c r="H539"/>
  <c r="G539"/>
  <c r="F539"/>
  <c r="E539"/>
  <c r="D539"/>
  <c r="C539"/>
  <c r="B539"/>
  <c r="A539"/>
  <c r="CJ538"/>
  <c r="CI538"/>
  <c r="CH538"/>
  <c r="CG538"/>
  <c r="CF538"/>
  <c r="CE538"/>
  <c r="CD538"/>
  <c r="CC538"/>
  <c r="CB538"/>
  <c r="CA538"/>
  <c r="BZ538"/>
  <c r="BY538"/>
  <c r="BX538"/>
  <c r="BW538"/>
  <c r="BV538"/>
  <c r="BU538"/>
  <c r="BT538"/>
  <c r="BS538"/>
  <c r="BR538"/>
  <c r="BQ538"/>
  <c r="BP538"/>
  <c r="BO538"/>
  <c r="BN538"/>
  <c r="BM538"/>
  <c r="BL538"/>
  <c r="BK538"/>
  <c r="BJ538"/>
  <c r="BI538"/>
  <c r="BH538"/>
  <c r="BG538"/>
  <c r="BF538"/>
  <c r="BE538"/>
  <c r="BD538"/>
  <c r="BC538"/>
  <c r="BB538"/>
  <c r="BA538"/>
  <c r="AZ538"/>
  <c r="AY538"/>
  <c r="AX538"/>
  <c r="AW538"/>
  <c r="AV538"/>
  <c r="AU538"/>
  <c r="AT538"/>
  <c r="AS538"/>
  <c r="AR538"/>
  <c r="AQ538"/>
  <c r="AP538"/>
  <c r="AO538"/>
  <c r="AN538"/>
  <c r="AM538"/>
  <c r="AL538"/>
  <c r="AK538"/>
  <c r="AJ538"/>
  <c r="AI538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D538"/>
  <c r="C538"/>
  <c r="B538"/>
  <c r="A538"/>
  <c r="CJ537"/>
  <c r="CI537"/>
  <c r="CH537"/>
  <c r="CG537"/>
  <c r="CF537"/>
  <c r="CE537"/>
  <c r="CD537"/>
  <c r="CC537"/>
  <c r="CB537"/>
  <c r="CA537"/>
  <c r="BZ537"/>
  <c r="BY537"/>
  <c r="BX537"/>
  <c r="BW537"/>
  <c r="BV537"/>
  <c r="BU537"/>
  <c r="BT537"/>
  <c r="BS537"/>
  <c r="BR537"/>
  <c r="BQ537"/>
  <c r="BP537"/>
  <c r="BO537"/>
  <c r="BN537"/>
  <c r="BM537"/>
  <c r="BL537"/>
  <c r="BK537"/>
  <c r="BJ537"/>
  <c r="BI537"/>
  <c r="BH537"/>
  <c r="BG537"/>
  <c r="BF537"/>
  <c r="BE537"/>
  <c r="BD537"/>
  <c r="BC537"/>
  <c r="BB537"/>
  <c r="BA537"/>
  <c r="AZ537"/>
  <c r="AY537"/>
  <c r="AX537"/>
  <c r="AW537"/>
  <c r="AV537"/>
  <c r="AU537"/>
  <c r="AT537"/>
  <c r="AS537"/>
  <c r="AR537"/>
  <c r="AQ537"/>
  <c r="AP537"/>
  <c r="AO537"/>
  <c r="AN537"/>
  <c r="AM537"/>
  <c r="AL537"/>
  <c r="AK537"/>
  <c r="AJ537"/>
  <c r="AI537"/>
  <c r="AH537"/>
  <c r="AG537"/>
  <c r="AF537"/>
  <c r="AE537"/>
  <c r="AD537"/>
  <c r="AC537"/>
  <c r="AB537"/>
  <c r="AA537"/>
  <c r="Z537"/>
  <c r="Y537"/>
  <c r="X537"/>
  <c r="W537"/>
  <c r="V537"/>
  <c r="U537"/>
  <c r="T537"/>
  <c r="S537"/>
  <c r="R537"/>
  <c r="Q537"/>
  <c r="P537"/>
  <c r="O537"/>
  <c r="N537"/>
  <c r="M537"/>
  <c r="L537"/>
  <c r="K537"/>
  <c r="J537"/>
  <c r="I537"/>
  <c r="H537"/>
  <c r="G537"/>
  <c r="F537"/>
  <c r="E537"/>
  <c r="D537"/>
  <c r="C537"/>
  <c r="B537"/>
  <c r="A537"/>
  <c r="CJ536"/>
  <c r="CI536"/>
  <c r="CH536"/>
  <c r="CG536"/>
  <c r="CF536"/>
  <c r="CE536"/>
  <c r="CD536"/>
  <c r="CC536"/>
  <c r="CB536"/>
  <c r="CA536"/>
  <c r="BZ536"/>
  <c r="BY536"/>
  <c r="BX536"/>
  <c r="BW536"/>
  <c r="BV536"/>
  <c r="BU536"/>
  <c r="BT536"/>
  <c r="BS536"/>
  <c r="BR536"/>
  <c r="BQ536"/>
  <c r="BP536"/>
  <c r="BO536"/>
  <c r="BN536"/>
  <c r="BM536"/>
  <c r="BL536"/>
  <c r="BK536"/>
  <c r="BJ536"/>
  <c r="BI536"/>
  <c r="BH536"/>
  <c r="BG536"/>
  <c r="BF536"/>
  <c r="BE536"/>
  <c r="BD536"/>
  <c r="BC536"/>
  <c r="BB536"/>
  <c r="BA536"/>
  <c r="AZ536"/>
  <c r="AY536"/>
  <c r="AX536"/>
  <c r="AW536"/>
  <c r="AV536"/>
  <c r="AU536"/>
  <c r="AT536"/>
  <c r="AS536"/>
  <c r="AR536"/>
  <c r="AQ536"/>
  <c r="AP536"/>
  <c r="AO536"/>
  <c r="AN536"/>
  <c r="AM536"/>
  <c r="AL536"/>
  <c r="AK536"/>
  <c r="AJ536"/>
  <c r="AI536"/>
  <c r="AH536"/>
  <c r="AG536"/>
  <c r="AF536"/>
  <c r="AE536"/>
  <c r="AD536"/>
  <c r="AC536"/>
  <c r="AB536"/>
  <c r="AA536"/>
  <c r="Z536"/>
  <c r="Y536"/>
  <c r="X536"/>
  <c r="W536"/>
  <c r="V536"/>
  <c r="U536"/>
  <c r="T536"/>
  <c r="S536"/>
  <c r="R536"/>
  <c r="Q536"/>
  <c r="P536"/>
  <c r="O536"/>
  <c r="N536"/>
  <c r="M536"/>
  <c r="L536"/>
  <c r="K536"/>
  <c r="J536"/>
  <c r="I536"/>
  <c r="H536"/>
  <c r="G536"/>
  <c r="F536"/>
  <c r="E536"/>
  <c r="D536"/>
  <c r="C536"/>
  <c r="B536"/>
  <c r="A536"/>
  <c r="CJ535"/>
  <c r="CI535"/>
  <c r="CH535"/>
  <c r="CG535"/>
  <c r="CF535"/>
  <c r="CE535"/>
  <c r="CD535"/>
  <c r="CC535"/>
  <c r="CB535"/>
  <c r="CA535"/>
  <c r="BZ535"/>
  <c r="BY535"/>
  <c r="BX535"/>
  <c r="BW535"/>
  <c r="BV535"/>
  <c r="BU535"/>
  <c r="BT535"/>
  <c r="BS535"/>
  <c r="BR535"/>
  <c r="BQ535"/>
  <c r="BP535"/>
  <c r="BO535"/>
  <c r="BN535"/>
  <c r="BM535"/>
  <c r="BL535"/>
  <c r="BK535"/>
  <c r="BJ535"/>
  <c r="BI535"/>
  <c r="BH535"/>
  <c r="BG535"/>
  <c r="BF535"/>
  <c r="BE535"/>
  <c r="BD535"/>
  <c r="BC535"/>
  <c r="BB535"/>
  <c r="BA535"/>
  <c r="AZ535"/>
  <c r="AY535"/>
  <c r="AX535"/>
  <c r="AW535"/>
  <c r="AV535"/>
  <c r="AU535"/>
  <c r="AT535"/>
  <c r="AS535"/>
  <c r="AR535"/>
  <c r="AQ535"/>
  <c r="AP535"/>
  <c r="AO535"/>
  <c r="AN535"/>
  <c r="AM535"/>
  <c r="AL535"/>
  <c r="AK535"/>
  <c r="AJ535"/>
  <c r="AI535"/>
  <c r="AH535"/>
  <c r="AG535"/>
  <c r="AF535"/>
  <c r="AE535"/>
  <c r="AD535"/>
  <c r="AC535"/>
  <c r="AB535"/>
  <c r="AA535"/>
  <c r="Z535"/>
  <c r="Y535"/>
  <c r="X535"/>
  <c r="W535"/>
  <c r="V535"/>
  <c r="U535"/>
  <c r="T535"/>
  <c r="S535"/>
  <c r="R535"/>
  <c r="Q535"/>
  <c r="P535"/>
  <c r="O535"/>
  <c r="N535"/>
  <c r="M535"/>
  <c r="L535"/>
  <c r="K535"/>
  <c r="J535"/>
  <c r="I535"/>
  <c r="H535"/>
  <c r="G535"/>
  <c r="F535"/>
  <c r="E535"/>
  <c r="D535"/>
  <c r="C535"/>
  <c r="B535"/>
  <c r="A535"/>
  <c r="CJ534"/>
  <c r="CI534"/>
  <c r="CH534"/>
  <c r="CG534"/>
  <c r="CF534"/>
  <c r="CE534"/>
  <c r="CD534"/>
  <c r="CC534"/>
  <c r="CB534"/>
  <c r="CA534"/>
  <c r="BZ534"/>
  <c r="BY534"/>
  <c r="BX534"/>
  <c r="BW534"/>
  <c r="BV534"/>
  <c r="BU534"/>
  <c r="BT534"/>
  <c r="BS534"/>
  <c r="BR534"/>
  <c r="BQ534"/>
  <c r="BP534"/>
  <c r="BO534"/>
  <c r="BN534"/>
  <c r="BM534"/>
  <c r="BL534"/>
  <c r="BK534"/>
  <c r="BJ534"/>
  <c r="BI534"/>
  <c r="BH534"/>
  <c r="BG534"/>
  <c r="BF534"/>
  <c r="BE534"/>
  <c r="BD534"/>
  <c r="BC534"/>
  <c r="BB534"/>
  <c r="BA534"/>
  <c r="AZ534"/>
  <c r="AY534"/>
  <c r="AX534"/>
  <c r="AW534"/>
  <c r="AV534"/>
  <c r="AU534"/>
  <c r="AT534"/>
  <c r="AS534"/>
  <c r="AR534"/>
  <c r="AQ534"/>
  <c r="AP534"/>
  <c r="AO534"/>
  <c r="AN534"/>
  <c r="AM534"/>
  <c r="AL534"/>
  <c r="AK534"/>
  <c r="AJ534"/>
  <c r="AI534"/>
  <c r="AH534"/>
  <c r="AG534"/>
  <c r="AF534"/>
  <c r="AE534"/>
  <c r="AD534"/>
  <c r="AC534"/>
  <c r="AB534"/>
  <c r="AA534"/>
  <c r="Z534"/>
  <c r="Y534"/>
  <c r="X534"/>
  <c r="W534"/>
  <c r="V534"/>
  <c r="U534"/>
  <c r="T534"/>
  <c r="S534"/>
  <c r="R534"/>
  <c r="Q534"/>
  <c r="P534"/>
  <c r="O534"/>
  <c r="N534"/>
  <c r="M534"/>
  <c r="L534"/>
  <c r="K534"/>
  <c r="J534"/>
  <c r="I534"/>
  <c r="H534"/>
  <c r="G534"/>
  <c r="F534"/>
  <c r="E534"/>
  <c r="D534"/>
  <c r="C534"/>
  <c r="B534"/>
  <c r="A534"/>
  <c r="CJ533"/>
  <c r="CI533"/>
  <c r="CH533"/>
  <c r="CG533"/>
  <c r="CF533"/>
  <c r="CE533"/>
  <c r="CD533"/>
  <c r="CC533"/>
  <c r="CB533"/>
  <c r="CA533"/>
  <c r="BZ533"/>
  <c r="BY533"/>
  <c r="BX533"/>
  <c r="BW533"/>
  <c r="BV533"/>
  <c r="BU533"/>
  <c r="BT533"/>
  <c r="BS533"/>
  <c r="BR533"/>
  <c r="BQ533"/>
  <c r="BP533"/>
  <c r="BO533"/>
  <c r="BN533"/>
  <c r="BM533"/>
  <c r="BL533"/>
  <c r="BK533"/>
  <c r="BJ533"/>
  <c r="BI533"/>
  <c r="BH533"/>
  <c r="BG533"/>
  <c r="BF533"/>
  <c r="BE533"/>
  <c r="BD533"/>
  <c r="BC533"/>
  <c r="BB533"/>
  <c r="BA533"/>
  <c r="AZ533"/>
  <c r="AY533"/>
  <c r="AX533"/>
  <c r="AW533"/>
  <c r="AV533"/>
  <c r="AU533"/>
  <c r="AT533"/>
  <c r="AS533"/>
  <c r="AR533"/>
  <c r="AQ533"/>
  <c r="AP533"/>
  <c r="AO533"/>
  <c r="AN533"/>
  <c r="AM533"/>
  <c r="AL533"/>
  <c r="AK533"/>
  <c r="AJ533"/>
  <c r="AI533"/>
  <c r="AH533"/>
  <c r="AG533"/>
  <c r="AF533"/>
  <c r="AE533"/>
  <c r="AD533"/>
  <c r="AC533"/>
  <c r="AB533"/>
  <c r="AA533"/>
  <c r="Z533"/>
  <c r="Y533"/>
  <c r="X533"/>
  <c r="W533"/>
  <c r="V533"/>
  <c r="U533"/>
  <c r="T533"/>
  <c r="S533"/>
  <c r="R533"/>
  <c r="Q533"/>
  <c r="P533"/>
  <c r="O533"/>
  <c r="N533"/>
  <c r="M533"/>
  <c r="L533"/>
  <c r="K533"/>
  <c r="J533"/>
  <c r="I533"/>
  <c r="H533"/>
  <c r="G533"/>
  <c r="F533"/>
  <c r="E533"/>
  <c r="D533"/>
  <c r="C533"/>
  <c r="B533"/>
  <c r="A533"/>
  <c r="CJ532"/>
  <c r="CI532"/>
  <c r="CH532"/>
  <c r="CG532"/>
  <c r="CF532"/>
  <c r="CE532"/>
  <c r="CD532"/>
  <c r="CC532"/>
  <c r="CB532"/>
  <c r="CA532"/>
  <c r="BZ532"/>
  <c r="BY532"/>
  <c r="BX532"/>
  <c r="BW532"/>
  <c r="BV532"/>
  <c r="BU532"/>
  <c r="BT532"/>
  <c r="BS532"/>
  <c r="BR532"/>
  <c r="BQ532"/>
  <c r="BP532"/>
  <c r="BO532"/>
  <c r="BN532"/>
  <c r="BM532"/>
  <c r="BL532"/>
  <c r="BK532"/>
  <c r="BJ532"/>
  <c r="BI532"/>
  <c r="BH532"/>
  <c r="BG532"/>
  <c r="BF532"/>
  <c r="BE532"/>
  <c r="BD532"/>
  <c r="BC532"/>
  <c r="BB532"/>
  <c r="BA532"/>
  <c r="AZ532"/>
  <c r="AY532"/>
  <c r="AX532"/>
  <c r="AW532"/>
  <c r="AV532"/>
  <c r="AU532"/>
  <c r="AT532"/>
  <c r="AS532"/>
  <c r="AR532"/>
  <c r="AQ532"/>
  <c r="AP532"/>
  <c r="AO532"/>
  <c r="AN532"/>
  <c r="AM532"/>
  <c r="AL532"/>
  <c r="AK532"/>
  <c r="AJ532"/>
  <c r="AI532"/>
  <c r="AH532"/>
  <c r="AG532"/>
  <c r="AF532"/>
  <c r="AE532"/>
  <c r="AD532"/>
  <c r="AC532"/>
  <c r="AB532"/>
  <c r="AA532"/>
  <c r="Z532"/>
  <c r="Y532"/>
  <c r="X532"/>
  <c r="W532"/>
  <c r="V532"/>
  <c r="U532"/>
  <c r="T532"/>
  <c r="S532"/>
  <c r="R532"/>
  <c r="Q532"/>
  <c r="P532"/>
  <c r="O532"/>
  <c r="N532"/>
  <c r="M532"/>
  <c r="L532"/>
  <c r="K532"/>
  <c r="J532"/>
  <c r="I532"/>
  <c r="H532"/>
  <c r="G532"/>
  <c r="F532"/>
  <c r="E532"/>
  <c r="D532"/>
  <c r="C532"/>
  <c r="B532"/>
  <c r="A532"/>
  <c r="CJ531"/>
  <c r="CI531"/>
  <c r="CH531"/>
  <c r="CG531"/>
  <c r="CF531"/>
  <c r="CE531"/>
  <c r="CD531"/>
  <c r="CC531"/>
  <c r="CB531"/>
  <c r="CA531"/>
  <c r="BZ531"/>
  <c r="BY531"/>
  <c r="BX531"/>
  <c r="BW531"/>
  <c r="BV531"/>
  <c r="BU531"/>
  <c r="BT531"/>
  <c r="BS531"/>
  <c r="BR531"/>
  <c r="BQ531"/>
  <c r="BP531"/>
  <c r="BO531"/>
  <c r="BN531"/>
  <c r="BM531"/>
  <c r="BL531"/>
  <c r="BK531"/>
  <c r="BJ531"/>
  <c r="BI531"/>
  <c r="BH531"/>
  <c r="BG531"/>
  <c r="BF531"/>
  <c r="BE531"/>
  <c r="BD531"/>
  <c r="BC531"/>
  <c r="BB531"/>
  <c r="BA531"/>
  <c r="AZ531"/>
  <c r="AY531"/>
  <c r="AX531"/>
  <c r="AW531"/>
  <c r="AV531"/>
  <c r="AU531"/>
  <c r="AT531"/>
  <c r="AS531"/>
  <c r="AR531"/>
  <c r="AQ531"/>
  <c r="AP531"/>
  <c r="AO531"/>
  <c r="AN531"/>
  <c r="AM531"/>
  <c r="AL531"/>
  <c r="AK531"/>
  <c r="AJ531"/>
  <c r="AI531"/>
  <c r="AH531"/>
  <c r="AG531"/>
  <c r="AF531"/>
  <c r="AE531"/>
  <c r="AD531"/>
  <c r="AC531"/>
  <c r="AB531"/>
  <c r="AA531"/>
  <c r="Z531"/>
  <c r="Y531"/>
  <c r="X531"/>
  <c r="W531"/>
  <c r="V531"/>
  <c r="U531"/>
  <c r="T531"/>
  <c r="S531"/>
  <c r="R531"/>
  <c r="Q531"/>
  <c r="P531"/>
  <c r="O531"/>
  <c r="N531"/>
  <c r="M531"/>
  <c r="L531"/>
  <c r="K531"/>
  <c r="J531"/>
  <c r="I531"/>
  <c r="H531"/>
  <c r="G531"/>
  <c r="F531"/>
  <c r="E531"/>
  <c r="D531"/>
  <c r="C531"/>
  <c r="B531"/>
  <c r="A531"/>
  <c r="CJ530"/>
  <c r="CI530"/>
  <c r="CH530"/>
  <c r="CG530"/>
  <c r="CF530"/>
  <c r="CE530"/>
  <c r="CD530"/>
  <c r="CC530"/>
  <c r="CB530"/>
  <c r="CA530"/>
  <c r="BZ530"/>
  <c r="BY530"/>
  <c r="BX530"/>
  <c r="BW530"/>
  <c r="BV530"/>
  <c r="BU530"/>
  <c r="BT530"/>
  <c r="BS530"/>
  <c r="BR530"/>
  <c r="BQ530"/>
  <c r="BP530"/>
  <c r="BO530"/>
  <c r="BN530"/>
  <c r="BM530"/>
  <c r="BL530"/>
  <c r="BK530"/>
  <c r="BJ530"/>
  <c r="BI530"/>
  <c r="BH530"/>
  <c r="BG530"/>
  <c r="BF530"/>
  <c r="BE530"/>
  <c r="BD530"/>
  <c r="BC530"/>
  <c r="BB530"/>
  <c r="BA530"/>
  <c r="AZ530"/>
  <c r="AY530"/>
  <c r="AX530"/>
  <c r="AW530"/>
  <c r="AV530"/>
  <c r="AU530"/>
  <c r="AT530"/>
  <c r="AS530"/>
  <c r="AR530"/>
  <c r="AQ530"/>
  <c r="AP530"/>
  <c r="AO530"/>
  <c r="AN530"/>
  <c r="AM530"/>
  <c r="AL530"/>
  <c r="AK530"/>
  <c r="AJ530"/>
  <c r="AI530"/>
  <c r="AH530"/>
  <c r="AG530"/>
  <c r="AF530"/>
  <c r="AE530"/>
  <c r="AD530"/>
  <c r="AC530"/>
  <c r="AB530"/>
  <c r="AA530"/>
  <c r="Z530"/>
  <c r="Y530"/>
  <c r="X530"/>
  <c r="W530"/>
  <c r="V530"/>
  <c r="U530"/>
  <c r="T530"/>
  <c r="S530"/>
  <c r="R530"/>
  <c r="Q530"/>
  <c r="P530"/>
  <c r="O530"/>
  <c r="N530"/>
  <c r="M530"/>
  <c r="L530"/>
  <c r="K530"/>
  <c r="J530"/>
  <c r="I530"/>
  <c r="H530"/>
  <c r="G530"/>
  <c r="F530"/>
  <c r="E530"/>
  <c r="D530"/>
  <c r="C530"/>
  <c r="B530"/>
  <c r="A530"/>
  <c r="CJ529"/>
  <c r="CI529"/>
  <c r="CH529"/>
  <c r="CG529"/>
  <c r="CF529"/>
  <c r="CE529"/>
  <c r="CD529"/>
  <c r="CC529"/>
  <c r="CB529"/>
  <c r="CA529"/>
  <c r="BZ529"/>
  <c r="BY529"/>
  <c r="BX529"/>
  <c r="BW529"/>
  <c r="BV529"/>
  <c r="BU529"/>
  <c r="BT529"/>
  <c r="BS529"/>
  <c r="BR529"/>
  <c r="BQ529"/>
  <c r="BP529"/>
  <c r="BO529"/>
  <c r="BN529"/>
  <c r="BM529"/>
  <c r="BL529"/>
  <c r="BK529"/>
  <c r="BJ529"/>
  <c r="BI529"/>
  <c r="BH529"/>
  <c r="BG529"/>
  <c r="BF529"/>
  <c r="BE529"/>
  <c r="BD529"/>
  <c r="BC529"/>
  <c r="BB529"/>
  <c r="BA529"/>
  <c r="AZ529"/>
  <c r="AY529"/>
  <c r="AX529"/>
  <c r="AW529"/>
  <c r="AV529"/>
  <c r="AU529"/>
  <c r="AT529"/>
  <c r="AS529"/>
  <c r="AR529"/>
  <c r="AQ529"/>
  <c r="AP529"/>
  <c r="AO529"/>
  <c r="AN529"/>
  <c r="AM529"/>
  <c r="AL529"/>
  <c r="AK529"/>
  <c r="AJ529"/>
  <c r="AI529"/>
  <c r="AH529"/>
  <c r="AG529"/>
  <c r="AF529"/>
  <c r="AE529"/>
  <c r="AD529"/>
  <c r="AC529"/>
  <c r="AB529"/>
  <c r="AA529"/>
  <c r="Z529"/>
  <c r="Y529"/>
  <c r="X529"/>
  <c r="W529"/>
  <c r="V529"/>
  <c r="U529"/>
  <c r="T529"/>
  <c r="S529"/>
  <c r="R529"/>
  <c r="Q529"/>
  <c r="P529"/>
  <c r="O529"/>
  <c r="N529"/>
  <c r="M529"/>
  <c r="L529"/>
  <c r="K529"/>
  <c r="J529"/>
  <c r="I529"/>
  <c r="H529"/>
  <c r="G529"/>
  <c r="F529"/>
  <c r="E529"/>
  <c r="D529"/>
  <c r="C529"/>
  <c r="B529"/>
  <c r="A529"/>
  <c r="CJ528"/>
  <c r="CI528"/>
  <c r="CH528"/>
  <c r="CG528"/>
  <c r="CF528"/>
  <c r="CE528"/>
  <c r="CD528"/>
  <c r="CC528"/>
  <c r="CB528"/>
  <c r="CA528"/>
  <c r="BZ528"/>
  <c r="BY528"/>
  <c r="BX528"/>
  <c r="BW528"/>
  <c r="BV528"/>
  <c r="BU528"/>
  <c r="BT528"/>
  <c r="BS528"/>
  <c r="BR528"/>
  <c r="BQ528"/>
  <c r="BP528"/>
  <c r="BO528"/>
  <c r="BN528"/>
  <c r="BM528"/>
  <c r="BL528"/>
  <c r="BK528"/>
  <c r="BJ528"/>
  <c r="BI528"/>
  <c r="BH528"/>
  <c r="BG528"/>
  <c r="BF528"/>
  <c r="BE528"/>
  <c r="BD528"/>
  <c r="BC528"/>
  <c r="BB528"/>
  <c r="BA528"/>
  <c r="AZ528"/>
  <c r="AY528"/>
  <c r="AX528"/>
  <c r="AW528"/>
  <c r="AV528"/>
  <c r="AU528"/>
  <c r="AT528"/>
  <c r="AS528"/>
  <c r="AR528"/>
  <c r="AQ528"/>
  <c r="AP528"/>
  <c r="AO528"/>
  <c r="AN528"/>
  <c r="AM528"/>
  <c r="AL528"/>
  <c r="AK528"/>
  <c r="AJ528"/>
  <c r="AI528"/>
  <c r="AH528"/>
  <c r="AG528"/>
  <c r="AF528"/>
  <c r="AE528"/>
  <c r="AD528"/>
  <c r="AC528"/>
  <c r="AB528"/>
  <c r="AA528"/>
  <c r="Z528"/>
  <c r="Y528"/>
  <c r="X528"/>
  <c r="W528"/>
  <c r="V528"/>
  <c r="U528"/>
  <c r="T528"/>
  <c r="S528"/>
  <c r="R528"/>
  <c r="Q528"/>
  <c r="P528"/>
  <c r="O528"/>
  <c r="N528"/>
  <c r="M528"/>
  <c r="L528"/>
  <c r="K528"/>
  <c r="J528"/>
  <c r="I528"/>
  <c r="H528"/>
  <c r="G528"/>
  <c r="F528"/>
  <c r="E528"/>
  <c r="D528"/>
  <c r="C528"/>
  <c r="B528"/>
  <c r="A528"/>
  <c r="CJ527"/>
  <c r="CI527"/>
  <c r="CH527"/>
  <c r="CG527"/>
  <c r="CF527"/>
  <c r="CE527"/>
  <c r="CD527"/>
  <c r="CC527"/>
  <c r="CB527"/>
  <c r="CA527"/>
  <c r="BZ527"/>
  <c r="BY527"/>
  <c r="BX527"/>
  <c r="BW527"/>
  <c r="BV527"/>
  <c r="BU527"/>
  <c r="BT527"/>
  <c r="BS527"/>
  <c r="BR527"/>
  <c r="BQ527"/>
  <c r="BP527"/>
  <c r="BO527"/>
  <c r="BN527"/>
  <c r="BM527"/>
  <c r="BL527"/>
  <c r="BK527"/>
  <c r="BJ527"/>
  <c r="BI527"/>
  <c r="BH527"/>
  <c r="BG527"/>
  <c r="BF527"/>
  <c r="BE527"/>
  <c r="BD527"/>
  <c r="BC527"/>
  <c r="BB527"/>
  <c r="BA527"/>
  <c r="AZ527"/>
  <c r="AY527"/>
  <c r="AX527"/>
  <c r="AW527"/>
  <c r="AV527"/>
  <c r="AU527"/>
  <c r="AT527"/>
  <c r="AS527"/>
  <c r="AR527"/>
  <c r="AQ527"/>
  <c r="AP527"/>
  <c r="AO527"/>
  <c r="AN527"/>
  <c r="AM527"/>
  <c r="AL527"/>
  <c r="AK527"/>
  <c r="AJ527"/>
  <c r="AI527"/>
  <c r="AH527"/>
  <c r="AG527"/>
  <c r="AF527"/>
  <c r="AE527"/>
  <c r="AD527"/>
  <c r="AC527"/>
  <c r="AB527"/>
  <c r="AA527"/>
  <c r="Z527"/>
  <c r="Y527"/>
  <c r="X527"/>
  <c r="W527"/>
  <c r="V527"/>
  <c r="U527"/>
  <c r="T527"/>
  <c r="S527"/>
  <c r="R527"/>
  <c r="Q527"/>
  <c r="P527"/>
  <c r="O527"/>
  <c r="N527"/>
  <c r="M527"/>
  <c r="L527"/>
  <c r="K527"/>
  <c r="J527"/>
  <c r="I527"/>
  <c r="H527"/>
  <c r="G527"/>
  <c r="F527"/>
  <c r="E527"/>
  <c r="D527"/>
  <c r="C527"/>
  <c r="B527"/>
  <c r="A527"/>
  <c r="CJ526"/>
  <c r="CI526"/>
  <c r="CH526"/>
  <c r="CG526"/>
  <c r="CF526"/>
  <c r="CE526"/>
  <c r="CD526"/>
  <c r="CC526"/>
  <c r="CB526"/>
  <c r="CA526"/>
  <c r="BZ526"/>
  <c r="BY526"/>
  <c r="BX526"/>
  <c r="BW526"/>
  <c r="BV526"/>
  <c r="BU526"/>
  <c r="BT526"/>
  <c r="BS526"/>
  <c r="BR526"/>
  <c r="BQ526"/>
  <c r="BP526"/>
  <c r="BO526"/>
  <c r="BN526"/>
  <c r="BM526"/>
  <c r="BL526"/>
  <c r="BK526"/>
  <c r="BJ526"/>
  <c r="BI526"/>
  <c r="BH526"/>
  <c r="BG526"/>
  <c r="BF526"/>
  <c r="BE526"/>
  <c r="BD526"/>
  <c r="BC526"/>
  <c r="BB526"/>
  <c r="BA526"/>
  <c r="AZ526"/>
  <c r="AY526"/>
  <c r="AX526"/>
  <c r="AW526"/>
  <c r="AV526"/>
  <c r="AU526"/>
  <c r="AT526"/>
  <c r="AS526"/>
  <c r="AR526"/>
  <c r="AQ526"/>
  <c r="AP526"/>
  <c r="AO526"/>
  <c r="AN526"/>
  <c r="AM526"/>
  <c r="AL526"/>
  <c r="AK526"/>
  <c r="AJ526"/>
  <c r="AI526"/>
  <c r="AH526"/>
  <c r="AG526"/>
  <c r="AF526"/>
  <c r="AE526"/>
  <c r="AD526"/>
  <c r="AC526"/>
  <c r="AB526"/>
  <c r="AA526"/>
  <c r="Z526"/>
  <c r="Y526"/>
  <c r="X526"/>
  <c r="W526"/>
  <c r="V526"/>
  <c r="U526"/>
  <c r="T526"/>
  <c r="S526"/>
  <c r="R526"/>
  <c r="Q526"/>
  <c r="P526"/>
  <c r="O526"/>
  <c r="N526"/>
  <c r="M526"/>
  <c r="L526"/>
  <c r="K526"/>
  <c r="J526"/>
  <c r="I526"/>
  <c r="H526"/>
  <c r="G526"/>
  <c r="F526"/>
  <c r="E526"/>
  <c r="D526"/>
  <c r="C526"/>
  <c r="B526"/>
  <c r="A526"/>
  <c r="CJ525"/>
  <c r="CI525"/>
  <c r="CH525"/>
  <c r="CG525"/>
  <c r="CF525"/>
  <c r="CE525"/>
  <c r="CD525"/>
  <c r="CC525"/>
  <c r="CB525"/>
  <c r="CA525"/>
  <c r="BZ525"/>
  <c r="BY525"/>
  <c r="BX525"/>
  <c r="BW525"/>
  <c r="BV525"/>
  <c r="BU525"/>
  <c r="BT525"/>
  <c r="BS525"/>
  <c r="BR525"/>
  <c r="BQ525"/>
  <c r="BP525"/>
  <c r="BO525"/>
  <c r="BN525"/>
  <c r="BM525"/>
  <c r="BL525"/>
  <c r="BK525"/>
  <c r="BJ525"/>
  <c r="BI525"/>
  <c r="BH525"/>
  <c r="BG525"/>
  <c r="BF525"/>
  <c r="BE525"/>
  <c r="BD525"/>
  <c r="BC525"/>
  <c r="BB525"/>
  <c r="BA525"/>
  <c r="AZ525"/>
  <c r="AY525"/>
  <c r="AX525"/>
  <c r="AW525"/>
  <c r="AV525"/>
  <c r="AU525"/>
  <c r="AT525"/>
  <c r="AS525"/>
  <c r="AR525"/>
  <c r="AQ525"/>
  <c r="AP525"/>
  <c r="AO525"/>
  <c r="AN525"/>
  <c r="AM525"/>
  <c r="AL525"/>
  <c r="AK525"/>
  <c r="AJ525"/>
  <c r="AI525"/>
  <c r="AH525"/>
  <c r="AG525"/>
  <c r="AF525"/>
  <c r="AE525"/>
  <c r="AD525"/>
  <c r="AC525"/>
  <c r="AB525"/>
  <c r="AA525"/>
  <c r="Z525"/>
  <c r="Y525"/>
  <c r="X525"/>
  <c r="W525"/>
  <c r="V525"/>
  <c r="U525"/>
  <c r="T525"/>
  <c r="S525"/>
  <c r="R525"/>
  <c r="Q525"/>
  <c r="P525"/>
  <c r="O525"/>
  <c r="N525"/>
  <c r="M525"/>
  <c r="L525"/>
  <c r="K525"/>
  <c r="J525"/>
  <c r="I525"/>
  <c r="H525"/>
  <c r="G525"/>
  <c r="F525"/>
  <c r="E525"/>
  <c r="D525"/>
  <c r="C525"/>
  <c r="B525"/>
  <c r="A525"/>
  <c r="CJ524"/>
  <c r="CI524"/>
  <c r="CH524"/>
  <c r="CG524"/>
  <c r="CF524"/>
  <c r="CE524"/>
  <c r="CD524"/>
  <c r="CC524"/>
  <c r="CB524"/>
  <c r="CA524"/>
  <c r="BZ524"/>
  <c r="BY524"/>
  <c r="BX524"/>
  <c r="BW524"/>
  <c r="BV524"/>
  <c r="BU524"/>
  <c r="BT524"/>
  <c r="BS524"/>
  <c r="BR524"/>
  <c r="BQ524"/>
  <c r="BP524"/>
  <c r="BO524"/>
  <c r="BN524"/>
  <c r="BM524"/>
  <c r="BL524"/>
  <c r="BK524"/>
  <c r="BJ524"/>
  <c r="BI524"/>
  <c r="BH524"/>
  <c r="BG524"/>
  <c r="BF524"/>
  <c r="BE524"/>
  <c r="BD524"/>
  <c r="BC524"/>
  <c r="BB524"/>
  <c r="BA524"/>
  <c r="AZ524"/>
  <c r="AY524"/>
  <c r="AX524"/>
  <c r="AW524"/>
  <c r="AV524"/>
  <c r="AU524"/>
  <c r="AT524"/>
  <c r="AS524"/>
  <c r="AR524"/>
  <c r="AQ524"/>
  <c r="AP524"/>
  <c r="AO524"/>
  <c r="AN524"/>
  <c r="AM524"/>
  <c r="AL524"/>
  <c r="AK524"/>
  <c r="AJ524"/>
  <c r="AI524"/>
  <c r="AH524"/>
  <c r="AG524"/>
  <c r="AF524"/>
  <c r="AE524"/>
  <c r="AD524"/>
  <c r="AC524"/>
  <c r="AB524"/>
  <c r="AA524"/>
  <c r="Z524"/>
  <c r="Y524"/>
  <c r="X524"/>
  <c r="W524"/>
  <c r="V524"/>
  <c r="U524"/>
  <c r="T524"/>
  <c r="S524"/>
  <c r="R524"/>
  <c r="Q524"/>
  <c r="P524"/>
  <c r="O524"/>
  <c r="N524"/>
  <c r="M524"/>
  <c r="L524"/>
  <c r="K524"/>
  <c r="J524"/>
  <c r="I524"/>
  <c r="H524"/>
  <c r="G524"/>
  <c r="F524"/>
  <c r="E524"/>
  <c r="D524"/>
  <c r="C524"/>
  <c r="B524"/>
  <c r="A524"/>
  <c r="CJ523"/>
  <c r="CI523"/>
  <c r="CH523"/>
  <c r="CG523"/>
  <c r="CF523"/>
  <c r="CE523"/>
  <c r="CD523"/>
  <c r="CC523"/>
  <c r="CB523"/>
  <c r="CA523"/>
  <c r="BZ523"/>
  <c r="BY523"/>
  <c r="BX523"/>
  <c r="BW523"/>
  <c r="BV523"/>
  <c r="BU523"/>
  <c r="BT523"/>
  <c r="BS523"/>
  <c r="BR523"/>
  <c r="BQ523"/>
  <c r="BP523"/>
  <c r="BO523"/>
  <c r="BN523"/>
  <c r="BM523"/>
  <c r="BL523"/>
  <c r="BK523"/>
  <c r="BJ523"/>
  <c r="BI523"/>
  <c r="BH523"/>
  <c r="BG523"/>
  <c r="BF523"/>
  <c r="BE523"/>
  <c r="BD523"/>
  <c r="BC523"/>
  <c r="BB523"/>
  <c r="BA523"/>
  <c r="AZ523"/>
  <c r="AY523"/>
  <c r="AX523"/>
  <c r="AW523"/>
  <c r="AV523"/>
  <c r="AU523"/>
  <c r="AT523"/>
  <c r="AS523"/>
  <c r="AR523"/>
  <c r="AQ523"/>
  <c r="AP523"/>
  <c r="AO523"/>
  <c r="AN523"/>
  <c r="AM523"/>
  <c r="AL523"/>
  <c r="AK523"/>
  <c r="AJ523"/>
  <c r="AI523"/>
  <c r="AH523"/>
  <c r="AG523"/>
  <c r="AF523"/>
  <c r="AE523"/>
  <c r="AD523"/>
  <c r="AC523"/>
  <c r="AB523"/>
  <c r="AA523"/>
  <c r="Z523"/>
  <c r="Y523"/>
  <c r="X523"/>
  <c r="W523"/>
  <c r="V523"/>
  <c r="U523"/>
  <c r="T523"/>
  <c r="S523"/>
  <c r="R523"/>
  <c r="Q523"/>
  <c r="P523"/>
  <c r="O523"/>
  <c r="N523"/>
  <c r="M523"/>
  <c r="L523"/>
  <c r="K523"/>
  <c r="J523"/>
  <c r="I523"/>
  <c r="H523"/>
  <c r="G523"/>
  <c r="F523"/>
  <c r="E523"/>
  <c r="D523"/>
  <c r="C523"/>
  <c r="B523"/>
  <c r="A523"/>
  <c r="CJ522"/>
  <c r="CI522"/>
  <c r="CH522"/>
  <c r="CG522"/>
  <c r="CF522"/>
  <c r="CE522"/>
  <c r="CD522"/>
  <c r="CC522"/>
  <c r="CB522"/>
  <c r="CA522"/>
  <c r="BZ522"/>
  <c r="BY522"/>
  <c r="BX522"/>
  <c r="BW522"/>
  <c r="BV522"/>
  <c r="BU522"/>
  <c r="BT522"/>
  <c r="BS522"/>
  <c r="BR522"/>
  <c r="BQ522"/>
  <c r="BP522"/>
  <c r="BO522"/>
  <c r="BN522"/>
  <c r="BM522"/>
  <c r="BL522"/>
  <c r="BK522"/>
  <c r="BJ522"/>
  <c r="BI522"/>
  <c r="BH522"/>
  <c r="BG522"/>
  <c r="BF522"/>
  <c r="BE522"/>
  <c r="BD522"/>
  <c r="BC522"/>
  <c r="BB522"/>
  <c r="BA522"/>
  <c r="AZ522"/>
  <c r="AY522"/>
  <c r="AX522"/>
  <c r="AW522"/>
  <c r="AV522"/>
  <c r="AU522"/>
  <c r="AT522"/>
  <c r="AS522"/>
  <c r="AR522"/>
  <c r="AQ522"/>
  <c r="AP522"/>
  <c r="AO522"/>
  <c r="AN522"/>
  <c r="AM522"/>
  <c r="AL522"/>
  <c r="AK522"/>
  <c r="AJ522"/>
  <c r="AI522"/>
  <c r="AH522"/>
  <c r="AG522"/>
  <c r="AF522"/>
  <c r="AE522"/>
  <c r="AD522"/>
  <c r="AC522"/>
  <c r="AB522"/>
  <c r="AA522"/>
  <c r="Z522"/>
  <c r="Y522"/>
  <c r="X522"/>
  <c r="W522"/>
  <c r="V522"/>
  <c r="U522"/>
  <c r="T522"/>
  <c r="S522"/>
  <c r="R522"/>
  <c r="Q522"/>
  <c r="P522"/>
  <c r="O522"/>
  <c r="N522"/>
  <c r="M522"/>
  <c r="L522"/>
  <c r="K522"/>
  <c r="J522"/>
  <c r="I522"/>
  <c r="H522"/>
  <c r="G522"/>
  <c r="F522"/>
  <c r="E522"/>
  <c r="D522"/>
  <c r="C522"/>
  <c r="B522"/>
  <c r="A522"/>
  <c r="CJ521"/>
  <c r="CI521"/>
  <c r="CH521"/>
  <c r="CG521"/>
  <c r="CF521"/>
  <c r="CE521"/>
  <c r="CD521"/>
  <c r="CC521"/>
  <c r="CB521"/>
  <c r="CA521"/>
  <c r="BZ521"/>
  <c r="BY521"/>
  <c r="BX521"/>
  <c r="BW521"/>
  <c r="BV521"/>
  <c r="BU521"/>
  <c r="BT521"/>
  <c r="BS521"/>
  <c r="BR521"/>
  <c r="BQ521"/>
  <c r="BP521"/>
  <c r="BO521"/>
  <c r="BN521"/>
  <c r="BM521"/>
  <c r="BL521"/>
  <c r="BK521"/>
  <c r="BJ521"/>
  <c r="BI521"/>
  <c r="BH521"/>
  <c r="BG521"/>
  <c r="BF521"/>
  <c r="BE521"/>
  <c r="BD521"/>
  <c r="BC521"/>
  <c r="BB521"/>
  <c r="BA521"/>
  <c r="AZ521"/>
  <c r="AY521"/>
  <c r="AX521"/>
  <c r="AW521"/>
  <c r="AV521"/>
  <c r="AU521"/>
  <c r="AT521"/>
  <c r="AS521"/>
  <c r="AR521"/>
  <c r="AQ521"/>
  <c r="AP521"/>
  <c r="AO521"/>
  <c r="AN521"/>
  <c r="AM521"/>
  <c r="AL521"/>
  <c r="AK521"/>
  <c r="AJ521"/>
  <c r="AI521"/>
  <c r="AH521"/>
  <c r="AG521"/>
  <c r="AF521"/>
  <c r="AE521"/>
  <c r="AD521"/>
  <c r="AC521"/>
  <c r="AB521"/>
  <c r="AA521"/>
  <c r="Z521"/>
  <c r="Y521"/>
  <c r="X521"/>
  <c r="W521"/>
  <c r="V521"/>
  <c r="U521"/>
  <c r="T521"/>
  <c r="S521"/>
  <c r="R521"/>
  <c r="Q521"/>
  <c r="P521"/>
  <c r="O521"/>
  <c r="N521"/>
  <c r="M521"/>
  <c r="L521"/>
  <c r="K521"/>
  <c r="J521"/>
  <c r="I521"/>
  <c r="H521"/>
  <c r="G521"/>
  <c r="F521"/>
  <c r="E521"/>
  <c r="D521"/>
  <c r="C521"/>
  <c r="B521"/>
  <c r="A521"/>
  <c r="CJ520"/>
  <c r="CI520"/>
  <c r="CH520"/>
  <c r="CG520"/>
  <c r="CF520"/>
  <c r="CE520"/>
  <c r="CD520"/>
  <c r="CC520"/>
  <c r="CB520"/>
  <c r="CA520"/>
  <c r="BZ520"/>
  <c r="BY520"/>
  <c r="BX520"/>
  <c r="BW520"/>
  <c r="BV520"/>
  <c r="BU520"/>
  <c r="BT520"/>
  <c r="BS520"/>
  <c r="BR520"/>
  <c r="BQ520"/>
  <c r="BP520"/>
  <c r="BO520"/>
  <c r="BN520"/>
  <c r="BM520"/>
  <c r="BL520"/>
  <c r="BK520"/>
  <c r="BJ520"/>
  <c r="BI520"/>
  <c r="BH520"/>
  <c r="BG520"/>
  <c r="BF520"/>
  <c r="BE520"/>
  <c r="BD520"/>
  <c r="BC520"/>
  <c r="BB520"/>
  <c r="BA520"/>
  <c r="AZ520"/>
  <c r="AY520"/>
  <c r="AX520"/>
  <c r="AW520"/>
  <c r="AV520"/>
  <c r="AU520"/>
  <c r="AT520"/>
  <c r="AS520"/>
  <c r="AR520"/>
  <c r="AQ520"/>
  <c r="AP520"/>
  <c r="AO520"/>
  <c r="AN520"/>
  <c r="AM520"/>
  <c r="AL520"/>
  <c r="AK520"/>
  <c r="AJ520"/>
  <c r="AI520"/>
  <c r="AH520"/>
  <c r="AG520"/>
  <c r="AF520"/>
  <c r="AE520"/>
  <c r="AD520"/>
  <c r="AC520"/>
  <c r="AB520"/>
  <c r="AA520"/>
  <c r="Z520"/>
  <c r="Y520"/>
  <c r="X520"/>
  <c r="W520"/>
  <c r="V520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D520"/>
  <c r="C520"/>
  <c r="B520"/>
  <c r="A520"/>
  <c r="CJ519"/>
  <c r="CI519"/>
  <c r="CH519"/>
  <c r="CG519"/>
  <c r="CF519"/>
  <c r="CE519"/>
  <c r="CD519"/>
  <c r="CC519"/>
  <c r="CB519"/>
  <c r="CA519"/>
  <c r="BZ519"/>
  <c r="BY519"/>
  <c r="BX519"/>
  <c r="BW519"/>
  <c r="BV519"/>
  <c r="BU519"/>
  <c r="BT519"/>
  <c r="BS519"/>
  <c r="BR519"/>
  <c r="BQ519"/>
  <c r="BP519"/>
  <c r="BO519"/>
  <c r="BN519"/>
  <c r="BM519"/>
  <c r="BL519"/>
  <c r="BK519"/>
  <c r="BJ519"/>
  <c r="BI519"/>
  <c r="BH519"/>
  <c r="BG519"/>
  <c r="BF519"/>
  <c r="BE519"/>
  <c r="BD519"/>
  <c r="BC519"/>
  <c r="BB519"/>
  <c r="BA519"/>
  <c r="AZ519"/>
  <c r="AY519"/>
  <c r="AX519"/>
  <c r="AW519"/>
  <c r="AV519"/>
  <c r="AU519"/>
  <c r="AT519"/>
  <c r="AS519"/>
  <c r="AR519"/>
  <c r="AQ519"/>
  <c r="AP519"/>
  <c r="AO519"/>
  <c r="AN519"/>
  <c r="AM519"/>
  <c r="AL519"/>
  <c r="AK519"/>
  <c r="AJ519"/>
  <c r="AI519"/>
  <c r="AH519"/>
  <c r="AG519"/>
  <c r="AF519"/>
  <c r="AE519"/>
  <c r="AD519"/>
  <c r="AC519"/>
  <c r="AB519"/>
  <c r="AA519"/>
  <c r="Z519"/>
  <c r="Y519"/>
  <c r="X519"/>
  <c r="W519"/>
  <c r="V519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D519"/>
  <c r="C519"/>
  <c r="B519"/>
  <c r="A519"/>
  <c r="CJ518"/>
  <c r="CI518"/>
  <c r="CH518"/>
  <c r="CG518"/>
  <c r="CF518"/>
  <c r="CE518"/>
  <c r="CD518"/>
  <c r="CC518"/>
  <c r="CB518"/>
  <c r="CA518"/>
  <c r="BZ518"/>
  <c r="BY518"/>
  <c r="BX518"/>
  <c r="BW518"/>
  <c r="BV518"/>
  <c r="BU518"/>
  <c r="BT518"/>
  <c r="BS518"/>
  <c r="BR518"/>
  <c r="BQ518"/>
  <c r="BP518"/>
  <c r="BO518"/>
  <c r="BN518"/>
  <c r="BM518"/>
  <c r="BL518"/>
  <c r="BK518"/>
  <c r="BJ518"/>
  <c r="BI518"/>
  <c r="BH518"/>
  <c r="BG518"/>
  <c r="BF518"/>
  <c r="BE518"/>
  <c r="BD518"/>
  <c r="BC518"/>
  <c r="BB518"/>
  <c r="BA518"/>
  <c r="AZ518"/>
  <c r="AY518"/>
  <c r="AX518"/>
  <c r="AW518"/>
  <c r="AV518"/>
  <c r="AU518"/>
  <c r="AT518"/>
  <c r="AS518"/>
  <c r="AR518"/>
  <c r="AQ518"/>
  <c r="AP518"/>
  <c r="AO518"/>
  <c r="AN518"/>
  <c r="AM518"/>
  <c r="AL518"/>
  <c r="AK518"/>
  <c r="AJ518"/>
  <c r="AI518"/>
  <c r="AH518"/>
  <c r="AG518"/>
  <c r="AF518"/>
  <c r="AE518"/>
  <c r="AD518"/>
  <c r="AC518"/>
  <c r="AB518"/>
  <c r="AA518"/>
  <c r="Z518"/>
  <c r="Y518"/>
  <c r="X518"/>
  <c r="W518"/>
  <c r="V518"/>
  <c r="U518"/>
  <c r="T518"/>
  <c r="S518"/>
  <c r="R518"/>
  <c r="Q518"/>
  <c r="P518"/>
  <c r="O518"/>
  <c r="N518"/>
  <c r="M518"/>
  <c r="L518"/>
  <c r="K518"/>
  <c r="J518"/>
  <c r="I518"/>
  <c r="H518"/>
  <c r="G518"/>
  <c r="F518"/>
  <c r="E518"/>
  <c r="D518"/>
  <c r="C518"/>
  <c r="B518"/>
  <c r="A518"/>
  <c r="CJ517"/>
  <c r="CI517"/>
  <c r="CH517"/>
  <c r="CG517"/>
  <c r="CF517"/>
  <c r="CE517"/>
  <c r="CD517"/>
  <c r="CC517"/>
  <c r="CB517"/>
  <c r="CA517"/>
  <c r="BZ517"/>
  <c r="BY517"/>
  <c r="BX517"/>
  <c r="BW517"/>
  <c r="BV517"/>
  <c r="BU517"/>
  <c r="BT517"/>
  <c r="BS517"/>
  <c r="BR517"/>
  <c r="BQ517"/>
  <c r="BP517"/>
  <c r="BO517"/>
  <c r="BN517"/>
  <c r="BM517"/>
  <c r="BL517"/>
  <c r="BK517"/>
  <c r="BJ517"/>
  <c r="BI517"/>
  <c r="BH517"/>
  <c r="BG517"/>
  <c r="BF517"/>
  <c r="BE517"/>
  <c r="BD517"/>
  <c r="BC517"/>
  <c r="BB517"/>
  <c r="BA517"/>
  <c r="AZ517"/>
  <c r="AY517"/>
  <c r="AX517"/>
  <c r="AW517"/>
  <c r="AV517"/>
  <c r="AU517"/>
  <c r="AT517"/>
  <c r="AS517"/>
  <c r="AR517"/>
  <c r="AQ517"/>
  <c r="AP517"/>
  <c r="AO517"/>
  <c r="AN517"/>
  <c r="AM517"/>
  <c r="AL517"/>
  <c r="AK517"/>
  <c r="AJ517"/>
  <c r="AI517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D517"/>
  <c r="C517"/>
  <c r="B517"/>
  <c r="A517"/>
  <c r="CJ516"/>
  <c r="CI516"/>
  <c r="CH516"/>
  <c r="CG516"/>
  <c r="CF516"/>
  <c r="CE516"/>
  <c r="CD516"/>
  <c r="CC516"/>
  <c r="CB516"/>
  <c r="CA516"/>
  <c r="BZ516"/>
  <c r="BY516"/>
  <c r="BX516"/>
  <c r="BW516"/>
  <c r="BV516"/>
  <c r="BU516"/>
  <c r="BT516"/>
  <c r="BS516"/>
  <c r="BR516"/>
  <c r="BQ516"/>
  <c r="BP516"/>
  <c r="BO516"/>
  <c r="BN516"/>
  <c r="BM516"/>
  <c r="BL516"/>
  <c r="BK516"/>
  <c r="BJ516"/>
  <c r="BI516"/>
  <c r="BH516"/>
  <c r="BG516"/>
  <c r="BF516"/>
  <c r="BE516"/>
  <c r="BD516"/>
  <c r="BC516"/>
  <c r="BB516"/>
  <c r="BA516"/>
  <c r="AZ516"/>
  <c r="AY516"/>
  <c r="AX516"/>
  <c r="AW516"/>
  <c r="AV516"/>
  <c r="AU516"/>
  <c r="AT516"/>
  <c r="AS516"/>
  <c r="AR516"/>
  <c r="AQ516"/>
  <c r="AP516"/>
  <c r="AO516"/>
  <c r="AN516"/>
  <c r="AM516"/>
  <c r="AL516"/>
  <c r="AK516"/>
  <c r="AJ516"/>
  <c r="AI516"/>
  <c r="AH516"/>
  <c r="AG516"/>
  <c r="AF516"/>
  <c r="AE516"/>
  <c r="AD516"/>
  <c r="AC516"/>
  <c r="AB516"/>
  <c r="AA516"/>
  <c r="Z516"/>
  <c r="Y516"/>
  <c r="X516"/>
  <c r="W516"/>
  <c r="V516"/>
  <c r="U516"/>
  <c r="T516"/>
  <c r="S516"/>
  <c r="R516"/>
  <c r="Q516"/>
  <c r="P516"/>
  <c r="O516"/>
  <c r="N516"/>
  <c r="M516"/>
  <c r="L516"/>
  <c r="K516"/>
  <c r="J516"/>
  <c r="I516"/>
  <c r="H516"/>
  <c r="G516"/>
  <c r="F516"/>
  <c r="E516"/>
  <c r="D516"/>
  <c r="C516"/>
  <c r="B516"/>
  <c r="A516"/>
  <c r="CJ515"/>
  <c r="CI515"/>
  <c r="CH515"/>
  <c r="CG515"/>
  <c r="CF515"/>
  <c r="CE515"/>
  <c r="CD515"/>
  <c r="CC515"/>
  <c r="CB515"/>
  <c r="CA515"/>
  <c r="BZ515"/>
  <c r="BY515"/>
  <c r="BX515"/>
  <c r="BW515"/>
  <c r="BV515"/>
  <c r="BU515"/>
  <c r="BT515"/>
  <c r="BS515"/>
  <c r="BR515"/>
  <c r="BQ515"/>
  <c r="BP515"/>
  <c r="BO515"/>
  <c r="BN515"/>
  <c r="BM515"/>
  <c r="BL515"/>
  <c r="BK515"/>
  <c r="BJ515"/>
  <c r="BI515"/>
  <c r="BH515"/>
  <c r="BG515"/>
  <c r="BF515"/>
  <c r="BE515"/>
  <c r="BD515"/>
  <c r="BC515"/>
  <c r="BB515"/>
  <c r="BA515"/>
  <c r="AZ515"/>
  <c r="AY515"/>
  <c r="AX515"/>
  <c r="AW515"/>
  <c r="AV515"/>
  <c r="AU515"/>
  <c r="AT515"/>
  <c r="AS515"/>
  <c r="AR515"/>
  <c r="AQ515"/>
  <c r="AP515"/>
  <c r="AO515"/>
  <c r="AN515"/>
  <c r="AM515"/>
  <c r="AL515"/>
  <c r="AK515"/>
  <c r="AJ515"/>
  <c r="AI515"/>
  <c r="AH515"/>
  <c r="AG515"/>
  <c r="AF515"/>
  <c r="AE515"/>
  <c r="AD515"/>
  <c r="AC515"/>
  <c r="AB515"/>
  <c r="AA515"/>
  <c r="Z515"/>
  <c r="Y515"/>
  <c r="X515"/>
  <c r="W515"/>
  <c r="V515"/>
  <c r="U515"/>
  <c r="T515"/>
  <c r="S515"/>
  <c r="R515"/>
  <c r="Q515"/>
  <c r="P515"/>
  <c r="O515"/>
  <c r="N515"/>
  <c r="M515"/>
  <c r="L515"/>
  <c r="K515"/>
  <c r="J515"/>
  <c r="I515"/>
  <c r="H515"/>
  <c r="G515"/>
  <c r="F515"/>
  <c r="E515"/>
  <c r="D515"/>
  <c r="C515"/>
  <c r="B515"/>
  <c r="A515"/>
  <c r="CJ514"/>
  <c r="CI514"/>
  <c r="CH514"/>
  <c r="CG514"/>
  <c r="CF514"/>
  <c r="CE514"/>
  <c r="CD514"/>
  <c r="CC514"/>
  <c r="CB514"/>
  <c r="CA514"/>
  <c r="BZ514"/>
  <c r="BY514"/>
  <c r="BX514"/>
  <c r="BW514"/>
  <c r="BV514"/>
  <c r="BU514"/>
  <c r="BT514"/>
  <c r="BS514"/>
  <c r="BR514"/>
  <c r="BQ514"/>
  <c r="BP514"/>
  <c r="BO514"/>
  <c r="BN514"/>
  <c r="BM514"/>
  <c r="BL514"/>
  <c r="BK514"/>
  <c r="BJ514"/>
  <c r="BI514"/>
  <c r="BH514"/>
  <c r="BG514"/>
  <c r="BF514"/>
  <c r="BE514"/>
  <c r="BD514"/>
  <c r="BC514"/>
  <c r="BB514"/>
  <c r="BA514"/>
  <c r="AZ514"/>
  <c r="AY514"/>
  <c r="AX514"/>
  <c r="AW514"/>
  <c r="AV514"/>
  <c r="AU514"/>
  <c r="AT514"/>
  <c r="AS514"/>
  <c r="AR514"/>
  <c r="AQ514"/>
  <c r="AP514"/>
  <c r="AO514"/>
  <c r="AN514"/>
  <c r="AM514"/>
  <c r="AL514"/>
  <c r="AK514"/>
  <c r="AJ514"/>
  <c r="AI514"/>
  <c r="AH514"/>
  <c r="AG514"/>
  <c r="AF514"/>
  <c r="AE514"/>
  <c r="AD514"/>
  <c r="AC514"/>
  <c r="AB514"/>
  <c r="AA514"/>
  <c r="Z514"/>
  <c r="Y514"/>
  <c r="X514"/>
  <c r="W514"/>
  <c r="V514"/>
  <c r="U514"/>
  <c r="T514"/>
  <c r="S514"/>
  <c r="R514"/>
  <c r="Q514"/>
  <c r="P514"/>
  <c r="O514"/>
  <c r="N514"/>
  <c r="M514"/>
  <c r="L514"/>
  <c r="K514"/>
  <c r="J514"/>
  <c r="I514"/>
  <c r="H514"/>
  <c r="G514"/>
  <c r="F514"/>
  <c r="E514"/>
  <c r="D514"/>
  <c r="C514"/>
  <c r="B514"/>
  <c r="A514"/>
  <c r="CJ513"/>
  <c r="CI513"/>
  <c r="CH513"/>
  <c r="CG513"/>
  <c r="CF513"/>
  <c r="CE513"/>
  <c r="CD513"/>
  <c r="CC513"/>
  <c r="CB513"/>
  <c r="CA513"/>
  <c r="BZ513"/>
  <c r="BY513"/>
  <c r="BX513"/>
  <c r="BW513"/>
  <c r="BV513"/>
  <c r="BU513"/>
  <c r="BT513"/>
  <c r="BS513"/>
  <c r="BR513"/>
  <c r="BQ513"/>
  <c r="BP513"/>
  <c r="BO513"/>
  <c r="BN513"/>
  <c r="BM513"/>
  <c r="BL513"/>
  <c r="BK513"/>
  <c r="BJ513"/>
  <c r="BI513"/>
  <c r="BH513"/>
  <c r="BG513"/>
  <c r="BF513"/>
  <c r="BE513"/>
  <c r="BD513"/>
  <c r="BC513"/>
  <c r="BB513"/>
  <c r="BA513"/>
  <c r="AZ513"/>
  <c r="AY513"/>
  <c r="AX513"/>
  <c r="AW513"/>
  <c r="AV513"/>
  <c r="AU513"/>
  <c r="AT513"/>
  <c r="AS513"/>
  <c r="AR513"/>
  <c r="AQ513"/>
  <c r="AP513"/>
  <c r="AO513"/>
  <c r="AN513"/>
  <c r="AM513"/>
  <c r="AL513"/>
  <c r="AK513"/>
  <c r="AJ513"/>
  <c r="AI513"/>
  <c r="AH513"/>
  <c r="AG513"/>
  <c r="AF513"/>
  <c r="AE513"/>
  <c r="AD513"/>
  <c r="AC513"/>
  <c r="AB513"/>
  <c r="AA513"/>
  <c r="Z513"/>
  <c r="Y513"/>
  <c r="X513"/>
  <c r="W513"/>
  <c r="V513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D513"/>
  <c r="C513"/>
  <c r="B513"/>
  <c r="A513"/>
  <c r="CJ512"/>
  <c r="CI512"/>
  <c r="CH512"/>
  <c r="CG512"/>
  <c r="CF512"/>
  <c r="CE512"/>
  <c r="CD512"/>
  <c r="CC512"/>
  <c r="CB512"/>
  <c r="CA512"/>
  <c r="BZ512"/>
  <c r="BY512"/>
  <c r="BX512"/>
  <c r="BW512"/>
  <c r="BV512"/>
  <c r="BU512"/>
  <c r="BT512"/>
  <c r="BS512"/>
  <c r="BR512"/>
  <c r="BQ512"/>
  <c r="BP512"/>
  <c r="BO512"/>
  <c r="BN512"/>
  <c r="BM512"/>
  <c r="BL512"/>
  <c r="BK512"/>
  <c r="BJ512"/>
  <c r="BI512"/>
  <c r="BH512"/>
  <c r="BG512"/>
  <c r="BF512"/>
  <c r="BE512"/>
  <c r="BD512"/>
  <c r="BC512"/>
  <c r="BB512"/>
  <c r="BA512"/>
  <c r="AZ512"/>
  <c r="AY512"/>
  <c r="AX512"/>
  <c r="AW512"/>
  <c r="AV512"/>
  <c r="AU512"/>
  <c r="AT512"/>
  <c r="AS512"/>
  <c r="AR512"/>
  <c r="AQ512"/>
  <c r="AP512"/>
  <c r="AO512"/>
  <c r="AN512"/>
  <c r="AM512"/>
  <c r="AL512"/>
  <c r="AK512"/>
  <c r="AJ512"/>
  <c r="AI512"/>
  <c r="AH512"/>
  <c r="AG512"/>
  <c r="AF512"/>
  <c r="AE512"/>
  <c r="AD512"/>
  <c r="AC512"/>
  <c r="AB512"/>
  <c r="AA512"/>
  <c r="Z512"/>
  <c r="Y512"/>
  <c r="X512"/>
  <c r="W512"/>
  <c r="V512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D512"/>
  <c r="C512"/>
  <c r="B512"/>
  <c r="A512"/>
  <c r="CJ511"/>
  <c r="CI511"/>
  <c r="CH511"/>
  <c r="CG511"/>
  <c r="CF511"/>
  <c r="CE511"/>
  <c r="CD511"/>
  <c r="CC511"/>
  <c r="CB511"/>
  <c r="CA511"/>
  <c r="BZ511"/>
  <c r="BY511"/>
  <c r="BX511"/>
  <c r="BW511"/>
  <c r="BV511"/>
  <c r="BU511"/>
  <c r="BT511"/>
  <c r="BS511"/>
  <c r="BR511"/>
  <c r="BQ511"/>
  <c r="BP511"/>
  <c r="BO511"/>
  <c r="BN511"/>
  <c r="BM511"/>
  <c r="BL511"/>
  <c r="BK511"/>
  <c r="BJ511"/>
  <c r="BI511"/>
  <c r="BH511"/>
  <c r="BG511"/>
  <c r="BF511"/>
  <c r="BE511"/>
  <c r="BD511"/>
  <c r="BC511"/>
  <c r="BB511"/>
  <c r="BA511"/>
  <c r="AZ511"/>
  <c r="AY511"/>
  <c r="AX511"/>
  <c r="AW511"/>
  <c r="AV511"/>
  <c r="AU511"/>
  <c r="AT511"/>
  <c r="AS511"/>
  <c r="AR511"/>
  <c r="AQ511"/>
  <c r="AP511"/>
  <c r="AO511"/>
  <c r="AN511"/>
  <c r="AM511"/>
  <c r="AL511"/>
  <c r="AK511"/>
  <c r="AJ511"/>
  <c r="AI511"/>
  <c r="AH511"/>
  <c r="AG511"/>
  <c r="AF511"/>
  <c r="AE511"/>
  <c r="AD511"/>
  <c r="AC511"/>
  <c r="AB511"/>
  <c r="AA511"/>
  <c r="Z511"/>
  <c r="Y511"/>
  <c r="X511"/>
  <c r="W511"/>
  <c r="V511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D511"/>
  <c r="C511"/>
  <c r="B511"/>
  <c r="A511"/>
  <c r="CJ510"/>
  <c r="CI510"/>
  <c r="CH510"/>
  <c r="CG510"/>
  <c r="CF510"/>
  <c r="CE510"/>
  <c r="CD510"/>
  <c r="CC510"/>
  <c r="CB510"/>
  <c r="CA510"/>
  <c r="BZ510"/>
  <c r="BY510"/>
  <c r="BX510"/>
  <c r="BW510"/>
  <c r="BV510"/>
  <c r="BU510"/>
  <c r="BT510"/>
  <c r="BS510"/>
  <c r="BR510"/>
  <c r="BQ510"/>
  <c r="BP510"/>
  <c r="BO510"/>
  <c r="BN510"/>
  <c r="BM510"/>
  <c r="BL510"/>
  <c r="BK510"/>
  <c r="BJ510"/>
  <c r="BI510"/>
  <c r="BH510"/>
  <c r="BG510"/>
  <c r="BF510"/>
  <c r="BE510"/>
  <c r="BD510"/>
  <c r="BC510"/>
  <c r="BB510"/>
  <c r="BA510"/>
  <c r="AZ510"/>
  <c r="AY510"/>
  <c r="AX510"/>
  <c r="AW510"/>
  <c r="AV510"/>
  <c r="AU510"/>
  <c r="AT510"/>
  <c r="AS510"/>
  <c r="AR510"/>
  <c r="AQ510"/>
  <c r="AP510"/>
  <c r="AO510"/>
  <c r="AN510"/>
  <c r="AM510"/>
  <c r="AL510"/>
  <c r="AK510"/>
  <c r="AJ510"/>
  <c r="AI510"/>
  <c r="AH510"/>
  <c r="AG510"/>
  <c r="AF510"/>
  <c r="AE510"/>
  <c r="AD510"/>
  <c r="AC510"/>
  <c r="AB510"/>
  <c r="AA510"/>
  <c r="Z510"/>
  <c r="Y510"/>
  <c r="X510"/>
  <c r="W510"/>
  <c r="V510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D510"/>
  <c r="C510"/>
  <c r="B510"/>
  <c r="A510"/>
  <c r="CJ509"/>
  <c r="CI509"/>
  <c r="CH509"/>
  <c r="CG509"/>
  <c r="CF509"/>
  <c r="CE509"/>
  <c r="CD509"/>
  <c r="CC509"/>
  <c r="CB509"/>
  <c r="CA509"/>
  <c r="BZ509"/>
  <c r="BY509"/>
  <c r="BX509"/>
  <c r="BW509"/>
  <c r="BV509"/>
  <c r="BU509"/>
  <c r="BT509"/>
  <c r="BS509"/>
  <c r="BR509"/>
  <c r="BQ509"/>
  <c r="BP509"/>
  <c r="BO509"/>
  <c r="BN509"/>
  <c r="BM509"/>
  <c r="BL509"/>
  <c r="BK509"/>
  <c r="BJ509"/>
  <c r="BI509"/>
  <c r="BH509"/>
  <c r="BG509"/>
  <c r="BF509"/>
  <c r="BE509"/>
  <c r="BD509"/>
  <c r="BC509"/>
  <c r="BB509"/>
  <c r="BA509"/>
  <c r="AZ509"/>
  <c r="AY509"/>
  <c r="AX509"/>
  <c r="AW509"/>
  <c r="AV509"/>
  <c r="AU509"/>
  <c r="AT509"/>
  <c r="AS509"/>
  <c r="AR509"/>
  <c r="AQ509"/>
  <c r="AP509"/>
  <c r="AO509"/>
  <c r="AN509"/>
  <c r="AM509"/>
  <c r="AL509"/>
  <c r="AK509"/>
  <c r="AJ509"/>
  <c r="AI509"/>
  <c r="AH509"/>
  <c r="AG509"/>
  <c r="AF509"/>
  <c r="AE509"/>
  <c r="AD509"/>
  <c r="AC509"/>
  <c r="AB509"/>
  <c r="AA509"/>
  <c r="Z509"/>
  <c r="Y509"/>
  <c r="X509"/>
  <c r="W509"/>
  <c r="V509"/>
  <c r="U509"/>
  <c r="T509"/>
  <c r="S509"/>
  <c r="R509"/>
  <c r="Q509"/>
  <c r="P509"/>
  <c r="O509"/>
  <c r="N509"/>
  <c r="M509"/>
  <c r="L509"/>
  <c r="K509"/>
  <c r="J509"/>
  <c r="I509"/>
  <c r="H509"/>
  <c r="G509"/>
  <c r="F509"/>
  <c r="E509"/>
  <c r="D509"/>
  <c r="C509"/>
  <c r="B509"/>
  <c r="A509"/>
  <c r="CJ508"/>
  <c r="CI508"/>
  <c r="CH508"/>
  <c r="CG508"/>
  <c r="CF508"/>
  <c r="CE508"/>
  <c r="CD508"/>
  <c r="CC508"/>
  <c r="CB508"/>
  <c r="CA508"/>
  <c r="BZ508"/>
  <c r="BY508"/>
  <c r="BX508"/>
  <c r="BW508"/>
  <c r="BV508"/>
  <c r="BU508"/>
  <c r="BT508"/>
  <c r="BS508"/>
  <c r="BR508"/>
  <c r="BQ508"/>
  <c r="BP508"/>
  <c r="BO508"/>
  <c r="BN508"/>
  <c r="BM508"/>
  <c r="BL508"/>
  <c r="BK508"/>
  <c r="BJ508"/>
  <c r="BI508"/>
  <c r="BH508"/>
  <c r="BG508"/>
  <c r="BF508"/>
  <c r="BE508"/>
  <c r="BD508"/>
  <c r="BC508"/>
  <c r="BB508"/>
  <c r="BA508"/>
  <c r="AZ508"/>
  <c r="AY508"/>
  <c r="AX508"/>
  <c r="AW508"/>
  <c r="AV508"/>
  <c r="AU508"/>
  <c r="AT508"/>
  <c r="AS508"/>
  <c r="AR508"/>
  <c r="AQ508"/>
  <c r="AP508"/>
  <c r="AO508"/>
  <c r="AN508"/>
  <c r="AM508"/>
  <c r="AL508"/>
  <c r="AK508"/>
  <c r="AJ508"/>
  <c r="AI508"/>
  <c r="AH508"/>
  <c r="AG508"/>
  <c r="AF508"/>
  <c r="AE508"/>
  <c r="AD508"/>
  <c r="AC508"/>
  <c r="AB508"/>
  <c r="AA508"/>
  <c r="Z508"/>
  <c r="Y508"/>
  <c r="X508"/>
  <c r="W508"/>
  <c r="V508"/>
  <c r="U508"/>
  <c r="T508"/>
  <c r="S508"/>
  <c r="R508"/>
  <c r="Q508"/>
  <c r="P508"/>
  <c r="O508"/>
  <c r="N508"/>
  <c r="M508"/>
  <c r="L508"/>
  <c r="K508"/>
  <c r="J508"/>
  <c r="I508"/>
  <c r="H508"/>
  <c r="G508"/>
  <c r="F508"/>
  <c r="E508"/>
  <c r="D508"/>
  <c r="C508"/>
  <c r="B508"/>
  <c r="A508"/>
  <c r="CJ507"/>
  <c r="CI507"/>
  <c r="CH507"/>
  <c r="CG507"/>
  <c r="CF507"/>
  <c r="CE507"/>
  <c r="CD507"/>
  <c r="CC507"/>
  <c r="CB507"/>
  <c r="CA507"/>
  <c r="BZ507"/>
  <c r="BY507"/>
  <c r="BX507"/>
  <c r="BW507"/>
  <c r="BV507"/>
  <c r="BU507"/>
  <c r="BT507"/>
  <c r="BS507"/>
  <c r="BR507"/>
  <c r="BQ507"/>
  <c r="BP507"/>
  <c r="BO507"/>
  <c r="BN507"/>
  <c r="BM507"/>
  <c r="BL507"/>
  <c r="BK507"/>
  <c r="BJ507"/>
  <c r="BI507"/>
  <c r="BH507"/>
  <c r="BG507"/>
  <c r="BF507"/>
  <c r="BE507"/>
  <c r="BD507"/>
  <c r="BC507"/>
  <c r="BB507"/>
  <c r="BA507"/>
  <c r="AZ507"/>
  <c r="AY507"/>
  <c r="AX507"/>
  <c r="AW507"/>
  <c r="AV507"/>
  <c r="AU507"/>
  <c r="AT507"/>
  <c r="AS507"/>
  <c r="AR507"/>
  <c r="AQ507"/>
  <c r="AP507"/>
  <c r="AO507"/>
  <c r="AN507"/>
  <c r="AM507"/>
  <c r="AL507"/>
  <c r="AK507"/>
  <c r="AJ507"/>
  <c r="AI507"/>
  <c r="AH507"/>
  <c r="AG507"/>
  <c r="AF507"/>
  <c r="AE507"/>
  <c r="AD507"/>
  <c r="AC507"/>
  <c r="AB507"/>
  <c r="AA507"/>
  <c r="Z507"/>
  <c r="Y507"/>
  <c r="X507"/>
  <c r="W507"/>
  <c r="V507"/>
  <c r="U507"/>
  <c r="T507"/>
  <c r="S507"/>
  <c r="R507"/>
  <c r="Q507"/>
  <c r="P507"/>
  <c r="O507"/>
  <c r="N507"/>
  <c r="M507"/>
  <c r="L507"/>
  <c r="K507"/>
  <c r="J507"/>
  <c r="I507"/>
  <c r="H507"/>
  <c r="G507"/>
  <c r="F507"/>
  <c r="E507"/>
  <c r="D507"/>
  <c r="C507"/>
  <c r="B507"/>
  <c r="A507"/>
  <c r="CJ506"/>
  <c r="CI506"/>
  <c r="CH506"/>
  <c r="CG506"/>
  <c r="CF506"/>
  <c r="CE506"/>
  <c r="CD506"/>
  <c r="CC506"/>
  <c r="CB506"/>
  <c r="CA506"/>
  <c r="BZ506"/>
  <c r="BY506"/>
  <c r="BX506"/>
  <c r="BW506"/>
  <c r="BV506"/>
  <c r="BU506"/>
  <c r="BT506"/>
  <c r="BS506"/>
  <c r="BR506"/>
  <c r="BQ506"/>
  <c r="BP506"/>
  <c r="BO506"/>
  <c r="BN506"/>
  <c r="BM506"/>
  <c r="BL506"/>
  <c r="BK506"/>
  <c r="BJ506"/>
  <c r="BI506"/>
  <c r="BH506"/>
  <c r="BG506"/>
  <c r="BF506"/>
  <c r="BE506"/>
  <c r="BD506"/>
  <c r="BC506"/>
  <c r="BB506"/>
  <c r="BA506"/>
  <c r="AZ506"/>
  <c r="AY506"/>
  <c r="AX506"/>
  <c r="AW506"/>
  <c r="AV506"/>
  <c r="AU506"/>
  <c r="AT506"/>
  <c r="AS506"/>
  <c r="AR506"/>
  <c r="AQ506"/>
  <c r="AP506"/>
  <c r="AO506"/>
  <c r="AN506"/>
  <c r="AM506"/>
  <c r="AL506"/>
  <c r="AK506"/>
  <c r="AJ506"/>
  <c r="AI506"/>
  <c r="AH506"/>
  <c r="AG506"/>
  <c r="AF506"/>
  <c r="AE506"/>
  <c r="AD506"/>
  <c r="AC506"/>
  <c r="AB506"/>
  <c r="AA506"/>
  <c r="Z506"/>
  <c r="Y506"/>
  <c r="X506"/>
  <c r="W506"/>
  <c r="V506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D506"/>
  <c r="C506"/>
  <c r="B506"/>
  <c r="A506"/>
  <c r="CJ505"/>
  <c r="CI505"/>
  <c r="CH505"/>
  <c r="CG505"/>
  <c r="CF505"/>
  <c r="CE505"/>
  <c r="CD505"/>
  <c r="CC505"/>
  <c r="CB505"/>
  <c r="CA505"/>
  <c r="BZ505"/>
  <c r="BY505"/>
  <c r="BX505"/>
  <c r="BW505"/>
  <c r="BV505"/>
  <c r="BU505"/>
  <c r="BT505"/>
  <c r="BS505"/>
  <c r="BR505"/>
  <c r="BQ505"/>
  <c r="BP505"/>
  <c r="BO505"/>
  <c r="BN505"/>
  <c r="BM505"/>
  <c r="BL505"/>
  <c r="BK505"/>
  <c r="BJ505"/>
  <c r="BI505"/>
  <c r="BH505"/>
  <c r="BG505"/>
  <c r="BF505"/>
  <c r="BE505"/>
  <c r="BD505"/>
  <c r="BC505"/>
  <c r="BB505"/>
  <c r="BA505"/>
  <c r="AZ505"/>
  <c r="AY505"/>
  <c r="AX505"/>
  <c r="AW505"/>
  <c r="AV505"/>
  <c r="AU505"/>
  <c r="AT505"/>
  <c r="AS505"/>
  <c r="AR505"/>
  <c r="AQ505"/>
  <c r="AP505"/>
  <c r="AO505"/>
  <c r="AN505"/>
  <c r="AM505"/>
  <c r="AL505"/>
  <c r="AK505"/>
  <c r="AJ505"/>
  <c r="AI505"/>
  <c r="AH505"/>
  <c r="AG505"/>
  <c r="AF505"/>
  <c r="AE505"/>
  <c r="AD505"/>
  <c r="AC505"/>
  <c r="AB505"/>
  <c r="AA505"/>
  <c r="Z505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H505"/>
  <c r="G505"/>
  <c r="F505"/>
  <c r="E505"/>
  <c r="D505"/>
  <c r="C505"/>
  <c r="B505"/>
  <c r="A505"/>
  <c r="CJ504"/>
  <c r="CI504"/>
  <c r="CH504"/>
  <c r="CG504"/>
  <c r="CF504"/>
  <c r="CE504"/>
  <c r="CD504"/>
  <c r="CC504"/>
  <c r="CB504"/>
  <c r="CA504"/>
  <c r="BZ504"/>
  <c r="BY504"/>
  <c r="BX504"/>
  <c r="BW504"/>
  <c r="BV504"/>
  <c r="BU504"/>
  <c r="BT504"/>
  <c r="BS504"/>
  <c r="BR504"/>
  <c r="BQ504"/>
  <c r="BP504"/>
  <c r="BO504"/>
  <c r="BN504"/>
  <c r="BM504"/>
  <c r="BL504"/>
  <c r="BK504"/>
  <c r="BJ504"/>
  <c r="BI504"/>
  <c r="BH504"/>
  <c r="BG504"/>
  <c r="BF504"/>
  <c r="BE504"/>
  <c r="BD504"/>
  <c r="BC504"/>
  <c r="BB504"/>
  <c r="BA504"/>
  <c r="AZ504"/>
  <c r="AY504"/>
  <c r="AX504"/>
  <c r="AW504"/>
  <c r="AV504"/>
  <c r="AU504"/>
  <c r="AT504"/>
  <c r="AS504"/>
  <c r="AR504"/>
  <c r="AQ504"/>
  <c r="AP504"/>
  <c r="AO504"/>
  <c r="AN504"/>
  <c r="AM504"/>
  <c r="AL504"/>
  <c r="AK504"/>
  <c r="AJ504"/>
  <c r="AI504"/>
  <c r="AH504"/>
  <c r="AG504"/>
  <c r="AF504"/>
  <c r="AE504"/>
  <c r="AD504"/>
  <c r="AC504"/>
  <c r="AB504"/>
  <c r="AA504"/>
  <c r="Z504"/>
  <c r="Y504"/>
  <c r="X504"/>
  <c r="W504"/>
  <c r="V504"/>
  <c r="U504"/>
  <c r="T504"/>
  <c r="S504"/>
  <c r="R504"/>
  <c r="Q504"/>
  <c r="P504"/>
  <c r="O504"/>
  <c r="N504"/>
  <c r="M504"/>
  <c r="L504"/>
  <c r="K504"/>
  <c r="J504"/>
  <c r="I504"/>
  <c r="H504"/>
  <c r="G504"/>
  <c r="F504"/>
  <c r="E504"/>
  <c r="D504"/>
  <c r="C504"/>
  <c r="B504"/>
  <c r="A504"/>
  <c r="CJ503"/>
  <c r="CI503"/>
  <c r="CH503"/>
  <c r="CG503"/>
  <c r="CF503"/>
  <c r="CE503"/>
  <c r="CD503"/>
  <c r="CC503"/>
  <c r="CB503"/>
  <c r="CA503"/>
  <c r="BZ503"/>
  <c r="BY503"/>
  <c r="BX503"/>
  <c r="BW503"/>
  <c r="BV503"/>
  <c r="BU503"/>
  <c r="BT503"/>
  <c r="BS503"/>
  <c r="BR503"/>
  <c r="BQ503"/>
  <c r="BP503"/>
  <c r="BO503"/>
  <c r="BN503"/>
  <c r="BM503"/>
  <c r="BL503"/>
  <c r="BK503"/>
  <c r="BJ503"/>
  <c r="BI503"/>
  <c r="BH503"/>
  <c r="BG503"/>
  <c r="BF503"/>
  <c r="BE503"/>
  <c r="BD503"/>
  <c r="BC503"/>
  <c r="BB503"/>
  <c r="BA503"/>
  <c r="AZ503"/>
  <c r="AY503"/>
  <c r="AX503"/>
  <c r="AW503"/>
  <c r="AV503"/>
  <c r="AU503"/>
  <c r="AT503"/>
  <c r="AS503"/>
  <c r="AR503"/>
  <c r="AQ503"/>
  <c r="AP503"/>
  <c r="AO503"/>
  <c r="AN503"/>
  <c r="AM503"/>
  <c r="AL503"/>
  <c r="AK503"/>
  <c r="AJ503"/>
  <c r="AI503"/>
  <c r="AH503"/>
  <c r="AG503"/>
  <c r="AF503"/>
  <c r="AE503"/>
  <c r="AD503"/>
  <c r="AC503"/>
  <c r="AB503"/>
  <c r="AA503"/>
  <c r="Z503"/>
  <c r="Y503"/>
  <c r="X503"/>
  <c r="W503"/>
  <c r="V503"/>
  <c r="U503"/>
  <c r="T503"/>
  <c r="S503"/>
  <c r="R503"/>
  <c r="Q503"/>
  <c r="P503"/>
  <c r="O503"/>
  <c r="N503"/>
  <c r="M503"/>
  <c r="L503"/>
  <c r="K503"/>
  <c r="J503"/>
  <c r="I503"/>
  <c r="H503"/>
  <c r="G503"/>
  <c r="F503"/>
  <c r="E503"/>
  <c r="D503"/>
  <c r="C503"/>
  <c r="B503"/>
  <c r="A503"/>
  <c r="CJ502"/>
  <c r="CI502"/>
  <c r="CH502"/>
  <c r="CG502"/>
  <c r="CF502"/>
  <c r="CE502"/>
  <c r="CD502"/>
  <c r="CC502"/>
  <c r="CB502"/>
  <c r="CA502"/>
  <c r="BZ502"/>
  <c r="BY502"/>
  <c r="BX502"/>
  <c r="BW502"/>
  <c r="BV502"/>
  <c r="BU502"/>
  <c r="BT502"/>
  <c r="BS502"/>
  <c r="BR502"/>
  <c r="BQ502"/>
  <c r="BP502"/>
  <c r="BO502"/>
  <c r="BN502"/>
  <c r="BM502"/>
  <c r="BL502"/>
  <c r="BK502"/>
  <c r="BJ502"/>
  <c r="BI502"/>
  <c r="BH502"/>
  <c r="BG502"/>
  <c r="BF502"/>
  <c r="BE502"/>
  <c r="BD502"/>
  <c r="BC502"/>
  <c r="BB502"/>
  <c r="BA502"/>
  <c r="AZ502"/>
  <c r="AY502"/>
  <c r="AX502"/>
  <c r="AW502"/>
  <c r="AV502"/>
  <c r="AU502"/>
  <c r="AT502"/>
  <c r="AS502"/>
  <c r="AR502"/>
  <c r="AQ502"/>
  <c r="AP502"/>
  <c r="AO502"/>
  <c r="AN502"/>
  <c r="AM502"/>
  <c r="AL502"/>
  <c r="AK502"/>
  <c r="AJ502"/>
  <c r="AI502"/>
  <c r="AH502"/>
  <c r="AG502"/>
  <c r="AF502"/>
  <c r="AE502"/>
  <c r="AD502"/>
  <c r="AC502"/>
  <c r="AB502"/>
  <c r="AA502"/>
  <c r="Z502"/>
  <c r="Y502"/>
  <c r="X502"/>
  <c r="W502"/>
  <c r="V502"/>
  <c r="U502"/>
  <c r="T502"/>
  <c r="S502"/>
  <c r="R502"/>
  <c r="Q502"/>
  <c r="P502"/>
  <c r="O502"/>
  <c r="N502"/>
  <c r="M502"/>
  <c r="L502"/>
  <c r="K502"/>
  <c r="J502"/>
  <c r="I502"/>
  <c r="H502"/>
  <c r="G502"/>
  <c r="F502"/>
  <c r="E502"/>
  <c r="D502"/>
  <c r="C502"/>
  <c r="B502"/>
  <c r="A502"/>
  <c r="CJ501"/>
  <c r="CI501"/>
  <c r="CH501"/>
  <c r="CG501"/>
  <c r="CF501"/>
  <c r="CE501"/>
  <c r="CD501"/>
  <c r="CC501"/>
  <c r="CB501"/>
  <c r="CA501"/>
  <c r="BZ501"/>
  <c r="BY501"/>
  <c r="BX501"/>
  <c r="BW501"/>
  <c r="BV501"/>
  <c r="BU501"/>
  <c r="BT501"/>
  <c r="BS501"/>
  <c r="BR501"/>
  <c r="BQ501"/>
  <c r="BP501"/>
  <c r="BO501"/>
  <c r="BN501"/>
  <c r="BM501"/>
  <c r="BL501"/>
  <c r="BK501"/>
  <c r="BJ501"/>
  <c r="BI501"/>
  <c r="BH501"/>
  <c r="BG501"/>
  <c r="BF501"/>
  <c r="BE501"/>
  <c r="BD501"/>
  <c r="BC501"/>
  <c r="BB501"/>
  <c r="BA501"/>
  <c r="AZ501"/>
  <c r="AY501"/>
  <c r="AX501"/>
  <c r="AW501"/>
  <c r="AV501"/>
  <c r="AU501"/>
  <c r="AT501"/>
  <c r="AS501"/>
  <c r="AR501"/>
  <c r="AQ501"/>
  <c r="AP501"/>
  <c r="AO501"/>
  <c r="AN501"/>
  <c r="AM501"/>
  <c r="AL501"/>
  <c r="AK501"/>
  <c r="AJ501"/>
  <c r="AI501"/>
  <c r="AH501"/>
  <c r="AG501"/>
  <c r="AF501"/>
  <c r="AE501"/>
  <c r="AD501"/>
  <c r="AC501"/>
  <c r="AB501"/>
  <c r="AA501"/>
  <c r="Z501"/>
  <c r="Y501"/>
  <c r="X501"/>
  <c r="W501"/>
  <c r="V501"/>
  <c r="U501"/>
  <c r="T501"/>
  <c r="S501"/>
  <c r="R501"/>
  <c r="Q501"/>
  <c r="P501"/>
  <c r="O501"/>
  <c r="N501"/>
  <c r="M501"/>
  <c r="L501"/>
  <c r="K501"/>
  <c r="J501"/>
  <c r="I501"/>
  <c r="H501"/>
  <c r="G501"/>
  <c r="F501"/>
  <c r="E501"/>
  <c r="D501"/>
  <c r="C501"/>
  <c r="B501"/>
  <c r="A501"/>
  <c r="CJ500"/>
  <c r="CI500"/>
  <c r="CH500"/>
  <c r="CG500"/>
  <c r="CF500"/>
  <c r="CE500"/>
  <c r="CD500"/>
  <c r="CC500"/>
  <c r="CB500"/>
  <c r="CA500"/>
  <c r="BZ500"/>
  <c r="BY500"/>
  <c r="BX500"/>
  <c r="BW500"/>
  <c r="BV500"/>
  <c r="BU500"/>
  <c r="BT500"/>
  <c r="BS500"/>
  <c r="BR500"/>
  <c r="BQ500"/>
  <c r="BP500"/>
  <c r="BO500"/>
  <c r="BN500"/>
  <c r="BM500"/>
  <c r="BL500"/>
  <c r="BK500"/>
  <c r="BJ500"/>
  <c r="BI500"/>
  <c r="BH500"/>
  <c r="BG500"/>
  <c r="BF500"/>
  <c r="BE500"/>
  <c r="BD500"/>
  <c r="BC500"/>
  <c r="BB500"/>
  <c r="BA500"/>
  <c r="AZ500"/>
  <c r="AY500"/>
  <c r="AX500"/>
  <c r="AW500"/>
  <c r="AV500"/>
  <c r="AU500"/>
  <c r="AT500"/>
  <c r="AS500"/>
  <c r="AR500"/>
  <c r="AQ500"/>
  <c r="AP500"/>
  <c r="AO500"/>
  <c r="AN500"/>
  <c r="AM500"/>
  <c r="AL500"/>
  <c r="AK500"/>
  <c r="AJ500"/>
  <c r="AI500"/>
  <c r="AH500"/>
  <c r="AG500"/>
  <c r="AF500"/>
  <c r="AE500"/>
  <c r="AD500"/>
  <c r="AC500"/>
  <c r="AB500"/>
  <c r="AA500"/>
  <c r="Z500"/>
  <c r="Y500"/>
  <c r="X500"/>
  <c r="W500"/>
  <c r="V500"/>
  <c r="U500"/>
  <c r="T500"/>
  <c r="S500"/>
  <c r="R500"/>
  <c r="Q500"/>
  <c r="P500"/>
  <c r="O500"/>
  <c r="N500"/>
  <c r="M500"/>
  <c r="L500"/>
  <c r="K500"/>
  <c r="J500"/>
  <c r="I500"/>
  <c r="H500"/>
  <c r="G500"/>
  <c r="F500"/>
  <c r="E500"/>
  <c r="D500"/>
  <c r="C500"/>
  <c r="B500"/>
  <c r="A500"/>
  <c r="CJ499"/>
  <c r="CI499"/>
  <c r="CH499"/>
  <c r="CG499"/>
  <c r="CF499"/>
  <c r="CE499"/>
  <c r="CD499"/>
  <c r="CC499"/>
  <c r="CB499"/>
  <c r="CA499"/>
  <c r="BZ499"/>
  <c r="BY499"/>
  <c r="BX499"/>
  <c r="BW499"/>
  <c r="BV499"/>
  <c r="BU499"/>
  <c r="BT499"/>
  <c r="BS499"/>
  <c r="BR499"/>
  <c r="BQ499"/>
  <c r="BP499"/>
  <c r="BO499"/>
  <c r="BN499"/>
  <c r="BM499"/>
  <c r="BL499"/>
  <c r="BK499"/>
  <c r="BJ499"/>
  <c r="BI499"/>
  <c r="BH499"/>
  <c r="BG499"/>
  <c r="BF499"/>
  <c r="BE499"/>
  <c r="BD499"/>
  <c r="BC499"/>
  <c r="BB499"/>
  <c r="BA499"/>
  <c r="AZ499"/>
  <c r="AY499"/>
  <c r="AX499"/>
  <c r="AW499"/>
  <c r="AV499"/>
  <c r="AU499"/>
  <c r="AT499"/>
  <c r="AS499"/>
  <c r="AR499"/>
  <c r="AQ499"/>
  <c r="AP499"/>
  <c r="AO499"/>
  <c r="AN499"/>
  <c r="AM499"/>
  <c r="AL499"/>
  <c r="AK499"/>
  <c r="AJ499"/>
  <c r="AI499"/>
  <c r="AH499"/>
  <c r="AG499"/>
  <c r="AF499"/>
  <c r="AE499"/>
  <c r="AD499"/>
  <c r="AC499"/>
  <c r="AB499"/>
  <c r="AA499"/>
  <c r="Z499"/>
  <c r="Y499"/>
  <c r="X499"/>
  <c r="W499"/>
  <c r="V499"/>
  <c r="U499"/>
  <c r="T499"/>
  <c r="S499"/>
  <c r="R499"/>
  <c r="Q499"/>
  <c r="P499"/>
  <c r="O499"/>
  <c r="N499"/>
  <c r="M499"/>
  <c r="L499"/>
  <c r="K499"/>
  <c r="J499"/>
  <c r="I499"/>
  <c r="H499"/>
  <c r="G499"/>
  <c r="F499"/>
  <c r="E499"/>
  <c r="D499"/>
  <c r="C499"/>
  <c r="B499"/>
  <c r="A499"/>
  <c r="CJ498"/>
  <c r="CI498"/>
  <c r="CH498"/>
  <c r="CG498"/>
  <c r="CF498"/>
  <c r="CE498"/>
  <c r="CD498"/>
  <c r="CC498"/>
  <c r="CB498"/>
  <c r="CA498"/>
  <c r="BZ498"/>
  <c r="BY498"/>
  <c r="BX498"/>
  <c r="BW498"/>
  <c r="BV498"/>
  <c r="BU498"/>
  <c r="BT498"/>
  <c r="BS498"/>
  <c r="BR498"/>
  <c r="BQ498"/>
  <c r="BP498"/>
  <c r="BO498"/>
  <c r="BN498"/>
  <c r="BM498"/>
  <c r="BL498"/>
  <c r="BK498"/>
  <c r="BJ498"/>
  <c r="BI498"/>
  <c r="BH498"/>
  <c r="BG498"/>
  <c r="BF498"/>
  <c r="BE498"/>
  <c r="BD498"/>
  <c r="BC498"/>
  <c r="BB498"/>
  <c r="BA498"/>
  <c r="AZ498"/>
  <c r="AY498"/>
  <c r="AX498"/>
  <c r="AW498"/>
  <c r="AV498"/>
  <c r="AU498"/>
  <c r="AT498"/>
  <c r="AS498"/>
  <c r="AR498"/>
  <c r="AQ498"/>
  <c r="AP498"/>
  <c r="AO498"/>
  <c r="AN498"/>
  <c r="AM498"/>
  <c r="AL498"/>
  <c r="AK498"/>
  <c r="AJ498"/>
  <c r="AI498"/>
  <c r="AH498"/>
  <c r="AG498"/>
  <c r="AF498"/>
  <c r="AE498"/>
  <c r="AD498"/>
  <c r="AC498"/>
  <c r="AB498"/>
  <c r="AA498"/>
  <c r="Z498"/>
  <c r="Y498"/>
  <c r="X498"/>
  <c r="W498"/>
  <c r="V498"/>
  <c r="U498"/>
  <c r="T498"/>
  <c r="S498"/>
  <c r="R498"/>
  <c r="Q498"/>
  <c r="P498"/>
  <c r="O498"/>
  <c r="N498"/>
  <c r="M498"/>
  <c r="L498"/>
  <c r="K498"/>
  <c r="J498"/>
  <c r="I498"/>
  <c r="H498"/>
  <c r="G498"/>
  <c r="F498"/>
  <c r="E498"/>
  <c r="D498"/>
  <c r="C498"/>
  <c r="B498"/>
  <c r="A498"/>
  <c r="CJ497"/>
  <c r="CI497"/>
  <c r="CH497"/>
  <c r="CG497"/>
  <c r="CF497"/>
  <c r="CE497"/>
  <c r="CD497"/>
  <c r="CC497"/>
  <c r="CB497"/>
  <c r="CA497"/>
  <c r="BZ497"/>
  <c r="BY497"/>
  <c r="BX497"/>
  <c r="BW497"/>
  <c r="BV497"/>
  <c r="BU497"/>
  <c r="BT497"/>
  <c r="BS497"/>
  <c r="BR497"/>
  <c r="BQ497"/>
  <c r="BP497"/>
  <c r="BO497"/>
  <c r="BN497"/>
  <c r="BM497"/>
  <c r="BL497"/>
  <c r="BK497"/>
  <c r="BJ497"/>
  <c r="BI497"/>
  <c r="BH497"/>
  <c r="BG497"/>
  <c r="BF497"/>
  <c r="BE497"/>
  <c r="BD497"/>
  <c r="BC497"/>
  <c r="BB497"/>
  <c r="BA497"/>
  <c r="AZ497"/>
  <c r="AY497"/>
  <c r="AX497"/>
  <c r="AW497"/>
  <c r="AV497"/>
  <c r="AU497"/>
  <c r="AT497"/>
  <c r="AS497"/>
  <c r="AR497"/>
  <c r="AQ497"/>
  <c r="AP497"/>
  <c r="AO497"/>
  <c r="AN497"/>
  <c r="AM497"/>
  <c r="AL497"/>
  <c r="AK497"/>
  <c r="AJ497"/>
  <c r="AI497"/>
  <c r="AH497"/>
  <c r="AG497"/>
  <c r="AF497"/>
  <c r="AE497"/>
  <c r="AD497"/>
  <c r="AC497"/>
  <c r="AB497"/>
  <c r="AA497"/>
  <c r="Z497"/>
  <c r="Y497"/>
  <c r="X497"/>
  <c r="W497"/>
  <c r="V497"/>
  <c r="U497"/>
  <c r="T497"/>
  <c r="S497"/>
  <c r="R497"/>
  <c r="Q497"/>
  <c r="P497"/>
  <c r="O497"/>
  <c r="N497"/>
  <c r="M497"/>
  <c r="L497"/>
  <c r="K497"/>
  <c r="J497"/>
  <c r="I497"/>
  <c r="H497"/>
  <c r="G497"/>
  <c r="F497"/>
  <c r="E497"/>
  <c r="D497"/>
  <c r="C497"/>
  <c r="B497"/>
  <c r="A497"/>
  <c r="CJ496"/>
  <c r="CI496"/>
  <c r="CH496"/>
  <c r="CG496"/>
  <c r="CF496"/>
  <c r="CE496"/>
  <c r="CD496"/>
  <c r="CC496"/>
  <c r="CB496"/>
  <c r="CA496"/>
  <c r="BZ496"/>
  <c r="BY496"/>
  <c r="BX496"/>
  <c r="BW496"/>
  <c r="BV496"/>
  <c r="BU496"/>
  <c r="BT496"/>
  <c r="BS496"/>
  <c r="BR496"/>
  <c r="BQ496"/>
  <c r="BP496"/>
  <c r="BO496"/>
  <c r="BN496"/>
  <c r="BM496"/>
  <c r="BL496"/>
  <c r="BK496"/>
  <c r="BJ496"/>
  <c r="BI496"/>
  <c r="BH496"/>
  <c r="BG496"/>
  <c r="BF496"/>
  <c r="BE496"/>
  <c r="BD496"/>
  <c r="BC496"/>
  <c r="BB496"/>
  <c r="BA496"/>
  <c r="AZ496"/>
  <c r="AY496"/>
  <c r="AX496"/>
  <c r="AW496"/>
  <c r="AV496"/>
  <c r="AU496"/>
  <c r="AT496"/>
  <c r="AS496"/>
  <c r="AR496"/>
  <c r="AQ496"/>
  <c r="AP496"/>
  <c r="AO496"/>
  <c r="AN496"/>
  <c r="AM496"/>
  <c r="AL496"/>
  <c r="AK496"/>
  <c r="AJ496"/>
  <c r="AI496"/>
  <c r="AH496"/>
  <c r="AG496"/>
  <c r="AF496"/>
  <c r="AE496"/>
  <c r="AD496"/>
  <c r="AC496"/>
  <c r="AB496"/>
  <c r="AA496"/>
  <c r="Z496"/>
  <c r="Y496"/>
  <c r="X496"/>
  <c r="W496"/>
  <c r="V496"/>
  <c r="U496"/>
  <c r="T496"/>
  <c r="S496"/>
  <c r="R496"/>
  <c r="Q496"/>
  <c r="P496"/>
  <c r="O496"/>
  <c r="N496"/>
  <c r="M496"/>
  <c r="L496"/>
  <c r="K496"/>
  <c r="J496"/>
  <c r="I496"/>
  <c r="H496"/>
  <c r="G496"/>
  <c r="F496"/>
  <c r="E496"/>
  <c r="D496"/>
  <c r="C496"/>
  <c r="B496"/>
  <c r="A496"/>
  <c r="CJ495"/>
  <c r="CI495"/>
  <c r="CH495"/>
  <c r="CG495"/>
  <c r="CF495"/>
  <c r="CE495"/>
  <c r="CD495"/>
  <c r="CC495"/>
  <c r="CB495"/>
  <c r="CA495"/>
  <c r="BZ495"/>
  <c r="BY495"/>
  <c r="BX495"/>
  <c r="BW495"/>
  <c r="BV495"/>
  <c r="BU495"/>
  <c r="BT495"/>
  <c r="BS495"/>
  <c r="BR495"/>
  <c r="BQ495"/>
  <c r="BP495"/>
  <c r="BO495"/>
  <c r="BN495"/>
  <c r="BM495"/>
  <c r="BL495"/>
  <c r="BK495"/>
  <c r="BJ495"/>
  <c r="BI495"/>
  <c r="BH495"/>
  <c r="BG495"/>
  <c r="BF495"/>
  <c r="BE495"/>
  <c r="BD495"/>
  <c r="BC495"/>
  <c r="BB495"/>
  <c r="BA495"/>
  <c r="AZ495"/>
  <c r="AY495"/>
  <c r="AX495"/>
  <c r="AW495"/>
  <c r="AV495"/>
  <c r="AU495"/>
  <c r="AT495"/>
  <c r="AS495"/>
  <c r="AR495"/>
  <c r="AQ495"/>
  <c r="AP495"/>
  <c r="AO495"/>
  <c r="AN495"/>
  <c r="AM495"/>
  <c r="AL495"/>
  <c r="AK495"/>
  <c r="AJ495"/>
  <c r="AI495"/>
  <c r="AH495"/>
  <c r="AG495"/>
  <c r="AF495"/>
  <c r="AE495"/>
  <c r="AD495"/>
  <c r="AC495"/>
  <c r="AB495"/>
  <c r="AA495"/>
  <c r="Z495"/>
  <c r="Y495"/>
  <c r="X495"/>
  <c r="W495"/>
  <c r="V495"/>
  <c r="U495"/>
  <c r="T495"/>
  <c r="S495"/>
  <c r="R495"/>
  <c r="Q495"/>
  <c r="P495"/>
  <c r="O495"/>
  <c r="N495"/>
  <c r="M495"/>
  <c r="L495"/>
  <c r="K495"/>
  <c r="J495"/>
  <c r="I495"/>
  <c r="H495"/>
  <c r="G495"/>
  <c r="F495"/>
  <c r="E495"/>
  <c r="D495"/>
  <c r="C495"/>
  <c r="B495"/>
  <c r="A495"/>
  <c r="CJ494"/>
  <c r="CI494"/>
  <c r="CH494"/>
  <c r="CG494"/>
  <c r="CF494"/>
  <c r="CE494"/>
  <c r="CD494"/>
  <c r="CC494"/>
  <c r="CB494"/>
  <c r="CA494"/>
  <c r="BZ494"/>
  <c r="BY494"/>
  <c r="BX494"/>
  <c r="BW494"/>
  <c r="BV494"/>
  <c r="BU494"/>
  <c r="BT494"/>
  <c r="BS494"/>
  <c r="BR494"/>
  <c r="BQ494"/>
  <c r="BP494"/>
  <c r="BO494"/>
  <c r="BN494"/>
  <c r="BM494"/>
  <c r="BL494"/>
  <c r="BK494"/>
  <c r="BJ494"/>
  <c r="BI494"/>
  <c r="BH494"/>
  <c r="BG494"/>
  <c r="BF494"/>
  <c r="BE494"/>
  <c r="BD494"/>
  <c r="BC494"/>
  <c r="BB494"/>
  <c r="BA494"/>
  <c r="AZ494"/>
  <c r="AY494"/>
  <c r="AX494"/>
  <c r="AW494"/>
  <c r="AV494"/>
  <c r="AU494"/>
  <c r="AT494"/>
  <c r="AS494"/>
  <c r="AR494"/>
  <c r="AQ494"/>
  <c r="AP494"/>
  <c r="AO494"/>
  <c r="AN494"/>
  <c r="AM494"/>
  <c r="AL494"/>
  <c r="AK494"/>
  <c r="AJ494"/>
  <c r="AI494"/>
  <c r="AH494"/>
  <c r="AG494"/>
  <c r="AF494"/>
  <c r="AE494"/>
  <c r="AD494"/>
  <c r="AC494"/>
  <c r="AB494"/>
  <c r="AA494"/>
  <c r="Z494"/>
  <c r="Y494"/>
  <c r="X494"/>
  <c r="W494"/>
  <c r="V494"/>
  <c r="U494"/>
  <c r="T494"/>
  <c r="S494"/>
  <c r="R494"/>
  <c r="Q494"/>
  <c r="P494"/>
  <c r="O494"/>
  <c r="N494"/>
  <c r="M494"/>
  <c r="L494"/>
  <c r="K494"/>
  <c r="J494"/>
  <c r="I494"/>
  <c r="H494"/>
  <c r="G494"/>
  <c r="F494"/>
  <c r="E494"/>
  <c r="D494"/>
  <c r="C494"/>
  <c r="B494"/>
  <c r="A494"/>
  <c r="CJ493"/>
  <c r="CI493"/>
  <c r="CH493"/>
  <c r="CG493"/>
  <c r="CF493"/>
  <c r="CE493"/>
  <c r="CD493"/>
  <c r="CC493"/>
  <c r="CB493"/>
  <c r="CA493"/>
  <c r="BZ493"/>
  <c r="BY493"/>
  <c r="BX493"/>
  <c r="BW493"/>
  <c r="BV493"/>
  <c r="BU493"/>
  <c r="BT493"/>
  <c r="BS493"/>
  <c r="BR493"/>
  <c r="BQ493"/>
  <c r="BP493"/>
  <c r="BO493"/>
  <c r="BN493"/>
  <c r="BM493"/>
  <c r="BL493"/>
  <c r="BK493"/>
  <c r="BJ493"/>
  <c r="BI493"/>
  <c r="BH493"/>
  <c r="BG493"/>
  <c r="BF493"/>
  <c r="BE493"/>
  <c r="BD493"/>
  <c r="BC493"/>
  <c r="BB493"/>
  <c r="BA493"/>
  <c r="AZ493"/>
  <c r="AY493"/>
  <c r="AX493"/>
  <c r="AW493"/>
  <c r="AV493"/>
  <c r="AU493"/>
  <c r="AT493"/>
  <c r="AS493"/>
  <c r="AR493"/>
  <c r="AQ493"/>
  <c r="AP493"/>
  <c r="AO493"/>
  <c r="AN493"/>
  <c r="AM493"/>
  <c r="AL493"/>
  <c r="AK493"/>
  <c r="AJ493"/>
  <c r="AI493"/>
  <c r="AH493"/>
  <c r="AG493"/>
  <c r="AF493"/>
  <c r="AE493"/>
  <c r="AD493"/>
  <c r="AC493"/>
  <c r="AB493"/>
  <c r="AA493"/>
  <c r="Z493"/>
  <c r="Y493"/>
  <c r="X493"/>
  <c r="W493"/>
  <c r="V493"/>
  <c r="U493"/>
  <c r="T493"/>
  <c r="S493"/>
  <c r="R493"/>
  <c r="Q493"/>
  <c r="P493"/>
  <c r="O493"/>
  <c r="N493"/>
  <c r="M493"/>
  <c r="L493"/>
  <c r="K493"/>
  <c r="J493"/>
  <c r="I493"/>
  <c r="H493"/>
  <c r="G493"/>
  <c r="F493"/>
  <c r="E493"/>
  <c r="D493"/>
  <c r="C493"/>
  <c r="B493"/>
  <c r="A493"/>
  <c r="CJ492"/>
  <c r="CI492"/>
  <c r="CH492"/>
  <c r="CG492"/>
  <c r="CF492"/>
  <c r="CE492"/>
  <c r="CD492"/>
  <c r="CC492"/>
  <c r="CB492"/>
  <c r="CA492"/>
  <c r="BZ492"/>
  <c r="BY492"/>
  <c r="BX492"/>
  <c r="BW492"/>
  <c r="BV492"/>
  <c r="BU492"/>
  <c r="BT492"/>
  <c r="BS492"/>
  <c r="BR492"/>
  <c r="BQ492"/>
  <c r="BP492"/>
  <c r="BO492"/>
  <c r="BN492"/>
  <c r="BM492"/>
  <c r="BL492"/>
  <c r="BK492"/>
  <c r="BJ492"/>
  <c r="BI492"/>
  <c r="BH492"/>
  <c r="BG492"/>
  <c r="BF492"/>
  <c r="BE492"/>
  <c r="BD492"/>
  <c r="BC492"/>
  <c r="BB492"/>
  <c r="BA492"/>
  <c r="AZ492"/>
  <c r="AY492"/>
  <c r="AX492"/>
  <c r="AW492"/>
  <c r="AV492"/>
  <c r="AU492"/>
  <c r="AT492"/>
  <c r="AS492"/>
  <c r="AR492"/>
  <c r="AQ492"/>
  <c r="AP492"/>
  <c r="AO492"/>
  <c r="AN492"/>
  <c r="AM492"/>
  <c r="AL492"/>
  <c r="AK492"/>
  <c r="AJ492"/>
  <c r="AI492"/>
  <c r="AH492"/>
  <c r="AG492"/>
  <c r="AF492"/>
  <c r="AE492"/>
  <c r="AD492"/>
  <c r="AC492"/>
  <c r="AB492"/>
  <c r="AA492"/>
  <c r="Z492"/>
  <c r="Y492"/>
  <c r="X492"/>
  <c r="W492"/>
  <c r="V492"/>
  <c r="U492"/>
  <c r="T492"/>
  <c r="S492"/>
  <c r="R492"/>
  <c r="Q492"/>
  <c r="P492"/>
  <c r="O492"/>
  <c r="N492"/>
  <c r="M492"/>
  <c r="L492"/>
  <c r="K492"/>
  <c r="J492"/>
  <c r="I492"/>
  <c r="H492"/>
  <c r="G492"/>
  <c r="F492"/>
  <c r="E492"/>
  <c r="D492"/>
  <c r="C492"/>
  <c r="B492"/>
  <c r="A492"/>
  <c r="CJ491"/>
  <c r="CI491"/>
  <c r="CH491"/>
  <c r="CG491"/>
  <c r="CF491"/>
  <c r="CE491"/>
  <c r="CD491"/>
  <c r="CC491"/>
  <c r="CB491"/>
  <c r="CA491"/>
  <c r="BZ491"/>
  <c r="BY491"/>
  <c r="BX491"/>
  <c r="BW491"/>
  <c r="BV491"/>
  <c r="BU491"/>
  <c r="BT491"/>
  <c r="BS491"/>
  <c r="BR491"/>
  <c r="BQ491"/>
  <c r="BP491"/>
  <c r="BO491"/>
  <c r="BN491"/>
  <c r="BM491"/>
  <c r="BL491"/>
  <c r="BK491"/>
  <c r="BJ491"/>
  <c r="BI491"/>
  <c r="BH491"/>
  <c r="BG491"/>
  <c r="BF491"/>
  <c r="BE491"/>
  <c r="BD491"/>
  <c r="BC491"/>
  <c r="BB491"/>
  <c r="BA491"/>
  <c r="AZ491"/>
  <c r="AY491"/>
  <c r="AX491"/>
  <c r="AW491"/>
  <c r="AV491"/>
  <c r="AU491"/>
  <c r="AT491"/>
  <c r="AS491"/>
  <c r="AR491"/>
  <c r="AQ491"/>
  <c r="AP491"/>
  <c r="AO491"/>
  <c r="AN491"/>
  <c r="AM491"/>
  <c r="AL491"/>
  <c r="AK491"/>
  <c r="AJ491"/>
  <c r="AI491"/>
  <c r="AH491"/>
  <c r="AG491"/>
  <c r="AF491"/>
  <c r="AE491"/>
  <c r="AD491"/>
  <c r="AC491"/>
  <c r="AB491"/>
  <c r="AA491"/>
  <c r="Z491"/>
  <c r="Y491"/>
  <c r="X491"/>
  <c r="W491"/>
  <c r="V491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D491"/>
  <c r="C491"/>
  <c r="B491"/>
  <c r="A491"/>
  <c r="CJ490"/>
  <c r="CI490"/>
  <c r="CH490"/>
  <c r="CG490"/>
  <c r="CF490"/>
  <c r="CE490"/>
  <c r="CD490"/>
  <c r="CC490"/>
  <c r="CB490"/>
  <c r="CA490"/>
  <c r="BZ490"/>
  <c r="BY490"/>
  <c r="BX490"/>
  <c r="BW490"/>
  <c r="BV490"/>
  <c r="BU490"/>
  <c r="BT490"/>
  <c r="BS490"/>
  <c r="BR490"/>
  <c r="BQ490"/>
  <c r="BP490"/>
  <c r="BO490"/>
  <c r="BN490"/>
  <c r="BM490"/>
  <c r="BL490"/>
  <c r="BK490"/>
  <c r="BJ490"/>
  <c r="BI490"/>
  <c r="BH490"/>
  <c r="BG490"/>
  <c r="BF490"/>
  <c r="BE490"/>
  <c r="BD490"/>
  <c r="BC490"/>
  <c r="BB490"/>
  <c r="BA490"/>
  <c r="AZ490"/>
  <c r="AY490"/>
  <c r="AX490"/>
  <c r="AW490"/>
  <c r="AV490"/>
  <c r="AU490"/>
  <c r="AT490"/>
  <c r="AS490"/>
  <c r="AR490"/>
  <c r="AQ490"/>
  <c r="AP490"/>
  <c r="AO490"/>
  <c r="AN490"/>
  <c r="AM490"/>
  <c r="AL490"/>
  <c r="AK490"/>
  <c r="AJ490"/>
  <c r="AI490"/>
  <c r="AH490"/>
  <c r="AG490"/>
  <c r="AF490"/>
  <c r="AE490"/>
  <c r="AD490"/>
  <c r="AC490"/>
  <c r="AB490"/>
  <c r="AA490"/>
  <c r="Z490"/>
  <c r="Y490"/>
  <c r="X490"/>
  <c r="W490"/>
  <c r="V490"/>
  <c r="U490"/>
  <c r="T490"/>
  <c r="S490"/>
  <c r="R490"/>
  <c r="Q490"/>
  <c r="P490"/>
  <c r="O490"/>
  <c r="N490"/>
  <c r="M490"/>
  <c r="L490"/>
  <c r="K490"/>
  <c r="J490"/>
  <c r="I490"/>
  <c r="H490"/>
  <c r="G490"/>
  <c r="F490"/>
  <c r="E490"/>
  <c r="D490"/>
  <c r="C490"/>
  <c r="B490"/>
  <c r="A490"/>
  <c r="CJ489"/>
  <c r="CI489"/>
  <c r="CH489"/>
  <c r="CG489"/>
  <c r="CF489"/>
  <c r="CE489"/>
  <c r="CD489"/>
  <c r="CC489"/>
  <c r="CB489"/>
  <c r="CA489"/>
  <c r="BZ489"/>
  <c r="BY489"/>
  <c r="BX489"/>
  <c r="BW489"/>
  <c r="BV489"/>
  <c r="BU489"/>
  <c r="BT489"/>
  <c r="BS489"/>
  <c r="BR489"/>
  <c r="BQ489"/>
  <c r="BP489"/>
  <c r="BO489"/>
  <c r="BN489"/>
  <c r="BM489"/>
  <c r="BL489"/>
  <c r="BK489"/>
  <c r="BJ489"/>
  <c r="BI489"/>
  <c r="BH489"/>
  <c r="BG489"/>
  <c r="BF489"/>
  <c r="BE489"/>
  <c r="BD489"/>
  <c r="BC489"/>
  <c r="BB489"/>
  <c r="BA489"/>
  <c r="AZ489"/>
  <c r="AY489"/>
  <c r="AX489"/>
  <c r="AW489"/>
  <c r="AV489"/>
  <c r="AU489"/>
  <c r="AT489"/>
  <c r="AS489"/>
  <c r="AR489"/>
  <c r="AQ489"/>
  <c r="AP489"/>
  <c r="AO489"/>
  <c r="AN489"/>
  <c r="AM489"/>
  <c r="AL489"/>
  <c r="AK489"/>
  <c r="AJ489"/>
  <c r="AI489"/>
  <c r="AH489"/>
  <c r="AG489"/>
  <c r="AF489"/>
  <c r="AE489"/>
  <c r="AD489"/>
  <c r="AC489"/>
  <c r="AB489"/>
  <c r="AA489"/>
  <c r="Z489"/>
  <c r="Y489"/>
  <c r="X489"/>
  <c r="W489"/>
  <c r="V489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D489"/>
  <c r="C489"/>
  <c r="B489"/>
  <c r="A489"/>
  <c r="CJ488"/>
  <c r="CI488"/>
  <c r="CH488"/>
  <c r="CG488"/>
  <c r="CF488"/>
  <c r="CE488"/>
  <c r="CD488"/>
  <c r="CC488"/>
  <c r="CB488"/>
  <c r="CA488"/>
  <c r="BZ488"/>
  <c r="BY488"/>
  <c r="BX488"/>
  <c r="BW488"/>
  <c r="BV488"/>
  <c r="BU488"/>
  <c r="BT488"/>
  <c r="BS488"/>
  <c r="BR488"/>
  <c r="BQ488"/>
  <c r="BP488"/>
  <c r="BO488"/>
  <c r="BN488"/>
  <c r="BM488"/>
  <c r="BL488"/>
  <c r="BK488"/>
  <c r="BJ488"/>
  <c r="BI488"/>
  <c r="BH488"/>
  <c r="BG488"/>
  <c r="BF488"/>
  <c r="BE488"/>
  <c r="BD488"/>
  <c r="BC488"/>
  <c r="BB488"/>
  <c r="BA488"/>
  <c r="AZ488"/>
  <c r="AY488"/>
  <c r="AX488"/>
  <c r="AW488"/>
  <c r="AV488"/>
  <c r="AU488"/>
  <c r="AT488"/>
  <c r="AS488"/>
  <c r="AR488"/>
  <c r="AQ488"/>
  <c r="AP488"/>
  <c r="AO488"/>
  <c r="AN488"/>
  <c r="AM488"/>
  <c r="AL488"/>
  <c r="AK488"/>
  <c r="AJ488"/>
  <c r="AI488"/>
  <c r="AH488"/>
  <c r="AG488"/>
  <c r="AF488"/>
  <c r="AE488"/>
  <c r="AD488"/>
  <c r="AC488"/>
  <c r="AB488"/>
  <c r="AA488"/>
  <c r="Z488"/>
  <c r="Y488"/>
  <c r="X488"/>
  <c r="W488"/>
  <c r="V488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D488"/>
  <c r="C488"/>
  <c r="B488"/>
  <c r="A488"/>
  <c r="CJ487"/>
  <c r="CI487"/>
  <c r="CH487"/>
  <c r="CG487"/>
  <c r="CF487"/>
  <c r="CE487"/>
  <c r="CD487"/>
  <c r="CC487"/>
  <c r="CB487"/>
  <c r="CA487"/>
  <c r="BZ487"/>
  <c r="BY487"/>
  <c r="BX487"/>
  <c r="BW487"/>
  <c r="BV487"/>
  <c r="BU487"/>
  <c r="BT487"/>
  <c r="BS487"/>
  <c r="BR487"/>
  <c r="BQ487"/>
  <c r="BP487"/>
  <c r="BO487"/>
  <c r="BN487"/>
  <c r="BM487"/>
  <c r="BL487"/>
  <c r="BK487"/>
  <c r="BJ487"/>
  <c r="BI487"/>
  <c r="BH487"/>
  <c r="BG487"/>
  <c r="BF487"/>
  <c r="BE487"/>
  <c r="BD487"/>
  <c r="BC487"/>
  <c r="BB487"/>
  <c r="BA487"/>
  <c r="AZ487"/>
  <c r="AY487"/>
  <c r="AX487"/>
  <c r="AW487"/>
  <c r="AV487"/>
  <c r="AU487"/>
  <c r="AT487"/>
  <c r="AS487"/>
  <c r="AR487"/>
  <c r="AQ487"/>
  <c r="AP487"/>
  <c r="AO487"/>
  <c r="AN487"/>
  <c r="AM487"/>
  <c r="AL487"/>
  <c r="AK487"/>
  <c r="AJ487"/>
  <c r="AI487"/>
  <c r="AH487"/>
  <c r="AG487"/>
  <c r="AF487"/>
  <c r="AE487"/>
  <c r="AD487"/>
  <c r="AC487"/>
  <c r="AB487"/>
  <c r="AA487"/>
  <c r="Z487"/>
  <c r="Y487"/>
  <c r="X487"/>
  <c r="W487"/>
  <c r="V487"/>
  <c r="U487"/>
  <c r="T487"/>
  <c r="S487"/>
  <c r="R487"/>
  <c r="Q487"/>
  <c r="P487"/>
  <c r="O487"/>
  <c r="N487"/>
  <c r="M487"/>
  <c r="L487"/>
  <c r="K487"/>
  <c r="J487"/>
  <c r="I487"/>
  <c r="H487"/>
  <c r="G487"/>
  <c r="F487"/>
  <c r="E487"/>
  <c r="D487"/>
  <c r="C487"/>
  <c r="B487"/>
  <c r="A487"/>
  <c r="CJ486"/>
  <c r="CI486"/>
  <c r="CH486"/>
  <c r="CG486"/>
  <c r="CF486"/>
  <c r="CE486"/>
  <c r="CD486"/>
  <c r="CC486"/>
  <c r="CB486"/>
  <c r="CA486"/>
  <c r="BZ486"/>
  <c r="BY486"/>
  <c r="BX486"/>
  <c r="BW486"/>
  <c r="BV486"/>
  <c r="BU486"/>
  <c r="BT486"/>
  <c r="BS486"/>
  <c r="BR486"/>
  <c r="BQ486"/>
  <c r="BP486"/>
  <c r="BO486"/>
  <c r="BN486"/>
  <c r="BM486"/>
  <c r="BL486"/>
  <c r="BK486"/>
  <c r="BJ486"/>
  <c r="BI486"/>
  <c r="BH486"/>
  <c r="BG486"/>
  <c r="BF486"/>
  <c r="BE486"/>
  <c r="BD486"/>
  <c r="BC486"/>
  <c r="BB486"/>
  <c r="BA486"/>
  <c r="AZ486"/>
  <c r="AY486"/>
  <c r="AX486"/>
  <c r="AW486"/>
  <c r="AV486"/>
  <c r="AU486"/>
  <c r="AT486"/>
  <c r="AS486"/>
  <c r="AR486"/>
  <c r="AQ486"/>
  <c r="AP486"/>
  <c r="AO486"/>
  <c r="AN486"/>
  <c r="AM486"/>
  <c r="AL486"/>
  <c r="AK486"/>
  <c r="AJ486"/>
  <c r="AI486"/>
  <c r="AH486"/>
  <c r="AG486"/>
  <c r="AF486"/>
  <c r="AE486"/>
  <c r="AD486"/>
  <c r="AC486"/>
  <c r="AB486"/>
  <c r="AA486"/>
  <c r="Z486"/>
  <c r="Y486"/>
  <c r="X486"/>
  <c r="W486"/>
  <c r="V486"/>
  <c r="U486"/>
  <c r="T486"/>
  <c r="S486"/>
  <c r="R486"/>
  <c r="Q486"/>
  <c r="P486"/>
  <c r="O486"/>
  <c r="N486"/>
  <c r="M486"/>
  <c r="L486"/>
  <c r="K486"/>
  <c r="J486"/>
  <c r="I486"/>
  <c r="H486"/>
  <c r="G486"/>
  <c r="F486"/>
  <c r="E486"/>
  <c r="D486"/>
  <c r="C486"/>
  <c r="B486"/>
  <c r="A486"/>
  <c r="CJ485"/>
  <c r="CI485"/>
  <c r="CH485"/>
  <c r="CG485"/>
  <c r="CF485"/>
  <c r="CE485"/>
  <c r="CD485"/>
  <c r="CC485"/>
  <c r="CB485"/>
  <c r="CA485"/>
  <c r="BZ485"/>
  <c r="BY485"/>
  <c r="BX485"/>
  <c r="BW485"/>
  <c r="BV485"/>
  <c r="BU485"/>
  <c r="BT485"/>
  <c r="BS485"/>
  <c r="BR485"/>
  <c r="BQ485"/>
  <c r="BP485"/>
  <c r="BO485"/>
  <c r="BN485"/>
  <c r="BM485"/>
  <c r="BL485"/>
  <c r="BK485"/>
  <c r="BJ485"/>
  <c r="BI485"/>
  <c r="BH485"/>
  <c r="BG485"/>
  <c r="BF485"/>
  <c r="BE485"/>
  <c r="BD485"/>
  <c r="BC485"/>
  <c r="BB485"/>
  <c r="BA485"/>
  <c r="AZ485"/>
  <c r="AY485"/>
  <c r="AX485"/>
  <c r="AW485"/>
  <c r="AV485"/>
  <c r="AU485"/>
  <c r="AT485"/>
  <c r="AS485"/>
  <c r="AR485"/>
  <c r="AQ485"/>
  <c r="AP485"/>
  <c r="AO485"/>
  <c r="AN485"/>
  <c r="AM485"/>
  <c r="AL485"/>
  <c r="AK485"/>
  <c r="AJ485"/>
  <c r="AI485"/>
  <c r="AH485"/>
  <c r="AG485"/>
  <c r="AF485"/>
  <c r="AE485"/>
  <c r="AD485"/>
  <c r="AC485"/>
  <c r="AB485"/>
  <c r="AA485"/>
  <c r="Z485"/>
  <c r="Y485"/>
  <c r="X485"/>
  <c r="W485"/>
  <c r="V485"/>
  <c r="U485"/>
  <c r="T485"/>
  <c r="S485"/>
  <c r="R485"/>
  <c r="Q485"/>
  <c r="P485"/>
  <c r="O485"/>
  <c r="N485"/>
  <c r="M485"/>
  <c r="L485"/>
  <c r="K485"/>
  <c r="J485"/>
  <c r="I485"/>
  <c r="H485"/>
  <c r="G485"/>
  <c r="F485"/>
  <c r="E485"/>
  <c r="D485"/>
  <c r="C485"/>
  <c r="B485"/>
  <c r="A485"/>
  <c r="CJ484"/>
  <c r="CI484"/>
  <c r="CH484"/>
  <c r="CG484"/>
  <c r="CF484"/>
  <c r="CE484"/>
  <c r="CD484"/>
  <c r="CC484"/>
  <c r="CB484"/>
  <c r="CA484"/>
  <c r="BZ484"/>
  <c r="BY484"/>
  <c r="BX484"/>
  <c r="BW484"/>
  <c r="BV484"/>
  <c r="BU484"/>
  <c r="BT484"/>
  <c r="BS484"/>
  <c r="BR484"/>
  <c r="BQ484"/>
  <c r="BP484"/>
  <c r="BO484"/>
  <c r="BN484"/>
  <c r="BM484"/>
  <c r="BL484"/>
  <c r="BK484"/>
  <c r="BJ484"/>
  <c r="BI484"/>
  <c r="BH484"/>
  <c r="BG484"/>
  <c r="BF484"/>
  <c r="BE484"/>
  <c r="BD484"/>
  <c r="BC484"/>
  <c r="BB484"/>
  <c r="BA484"/>
  <c r="AZ484"/>
  <c r="AY484"/>
  <c r="AX484"/>
  <c r="AW484"/>
  <c r="AV484"/>
  <c r="AU484"/>
  <c r="AT484"/>
  <c r="AS484"/>
  <c r="AR484"/>
  <c r="AQ484"/>
  <c r="AP484"/>
  <c r="AO484"/>
  <c r="AN484"/>
  <c r="AM484"/>
  <c r="AL484"/>
  <c r="AK484"/>
  <c r="AJ484"/>
  <c r="AI484"/>
  <c r="AH484"/>
  <c r="AG484"/>
  <c r="AF484"/>
  <c r="AE484"/>
  <c r="AD484"/>
  <c r="AC484"/>
  <c r="AB484"/>
  <c r="AA484"/>
  <c r="Z484"/>
  <c r="Y484"/>
  <c r="X484"/>
  <c r="W484"/>
  <c r="V484"/>
  <c r="U484"/>
  <c r="T484"/>
  <c r="S484"/>
  <c r="R484"/>
  <c r="Q484"/>
  <c r="P484"/>
  <c r="O484"/>
  <c r="N484"/>
  <c r="M484"/>
  <c r="L484"/>
  <c r="K484"/>
  <c r="J484"/>
  <c r="I484"/>
  <c r="H484"/>
  <c r="G484"/>
  <c r="F484"/>
  <c r="E484"/>
  <c r="D484"/>
  <c r="C484"/>
  <c r="B484"/>
  <c r="A484"/>
  <c r="CJ483"/>
  <c r="CI483"/>
  <c r="CH483"/>
  <c r="CG483"/>
  <c r="CF483"/>
  <c r="CE483"/>
  <c r="CD483"/>
  <c r="CC483"/>
  <c r="CB483"/>
  <c r="CA483"/>
  <c r="BZ483"/>
  <c r="BY483"/>
  <c r="BX483"/>
  <c r="BW483"/>
  <c r="BV483"/>
  <c r="BU483"/>
  <c r="BT483"/>
  <c r="BS483"/>
  <c r="BR483"/>
  <c r="BQ483"/>
  <c r="BP483"/>
  <c r="BO483"/>
  <c r="BN483"/>
  <c r="BM483"/>
  <c r="BL483"/>
  <c r="BK483"/>
  <c r="BJ483"/>
  <c r="BI483"/>
  <c r="BH483"/>
  <c r="BG483"/>
  <c r="BF483"/>
  <c r="BE483"/>
  <c r="BD483"/>
  <c r="BC483"/>
  <c r="BB483"/>
  <c r="BA483"/>
  <c r="AZ483"/>
  <c r="AY483"/>
  <c r="AX483"/>
  <c r="AW483"/>
  <c r="AV483"/>
  <c r="AU483"/>
  <c r="AT483"/>
  <c r="AS483"/>
  <c r="AR483"/>
  <c r="AQ483"/>
  <c r="AP483"/>
  <c r="AO483"/>
  <c r="AN483"/>
  <c r="AM483"/>
  <c r="AL483"/>
  <c r="AK483"/>
  <c r="AJ483"/>
  <c r="AI483"/>
  <c r="AH483"/>
  <c r="AG483"/>
  <c r="AF483"/>
  <c r="AE483"/>
  <c r="AD483"/>
  <c r="AC483"/>
  <c r="AB483"/>
  <c r="AA483"/>
  <c r="Z483"/>
  <c r="Y483"/>
  <c r="X483"/>
  <c r="W483"/>
  <c r="V483"/>
  <c r="U483"/>
  <c r="T483"/>
  <c r="S483"/>
  <c r="R483"/>
  <c r="Q483"/>
  <c r="P483"/>
  <c r="O483"/>
  <c r="N483"/>
  <c r="M483"/>
  <c r="L483"/>
  <c r="K483"/>
  <c r="J483"/>
  <c r="I483"/>
  <c r="H483"/>
  <c r="G483"/>
  <c r="F483"/>
  <c r="E483"/>
  <c r="D483"/>
  <c r="C483"/>
  <c r="B483"/>
  <c r="A483"/>
  <c r="CJ482"/>
  <c r="CI482"/>
  <c r="CH482"/>
  <c r="CG482"/>
  <c r="CF482"/>
  <c r="CE482"/>
  <c r="CD482"/>
  <c r="CC482"/>
  <c r="CB482"/>
  <c r="CA482"/>
  <c r="BZ482"/>
  <c r="BY482"/>
  <c r="BX482"/>
  <c r="BW482"/>
  <c r="BV482"/>
  <c r="BU482"/>
  <c r="BT482"/>
  <c r="BS482"/>
  <c r="BR482"/>
  <c r="BQ482"/>
  <c r="BP482"/>
  <c r="BO482"/>
  <c r="BN482"/>
  <c r="BM482"/>
  <c r="BL482"/>
  <c r="BK482"/>
  <c r="BJ482"/>
  <c r="BI482"/>
  <c r="BH482"/>
  <c r="BG482"/>
  <c r="BF482"/>
  <c r="BE482"/>
  <c r="BD482"/>
  <c r="BC482"/>
  <c r="BB482"/>
  <c r="BA482"/>
  <c r="AZ482"/>
  <c r="AY482"/>
  <c r="AX482"/>
  <c r="AW482"/>
  <c r="AV482"/>
  <c r="AU482"/>
  <c r="AT482"/>
  <c r="AS482"/>
  <c r="AR482"/>
  <c r="AQ482"/>
  <c r="AP482"/>
  <c r="AO482"/>
  <c r="AN482"/>
  <c r="AM482"/>
  <c r="AL482"/>
  <c r="AK482"/>
  <c r="AJ482"/>
  <c r="AI482"/>
  <c r="AH482"/>
  <c r="AG482"/>
  <c r="AF482"/>
  <c r="AE482"/>
  <c r="AD482"/>
  <c r="AC482"/>
  <c r="AB482"/>
  <c r="AA482"/>
  <c r="Z482"/>
  <c r="Y482"/>
  <c r="X482"/>
  <c r="W482"/>
  <c r="V482"/>
  <c r="U482"/>
  <c r="T482"/>
  <c r="S482"/>
  <c r="R482"/>
  <c r="Q482"/>
  <c r="P482"/>
  <c r="O482"/>
  <c r="N482"/>
  <c r="M482"/>
  <c r="L482"/>
  <c r="K482"/>
  <c r="J482"/>
  <c r="I482"/>
  <c r="H482"/>
  <c r="G482"/>
  <c r="F482"/>
  <c r="E482"/>
  <c r="D482"/>
  <c r="C482"/>
  <c r="B482"/>
  <c r="A482"/>
  <c r="CJ481"/>
  <c r="CI481"/>
  <c r="CH481"/>
  <c r="CG481"/>
  <c r="CF481"/>
  <c r="CE481"/>
  <c r="CD481"/>
  <c r="CC481"/>
  <c r="CB481"/>
  <c r="CA481"/>
  <c r="BZ481"/>
  <c r="BY481"/>
  <c r="BX481"/>
  <c r="BW481"/>
  <c r="BV481"/>
  <c r="BU481"/>
  <c r="BT481"/>
  <c r="BS481"/>
  <c r="BR481"/>
  <c r="BQ481"/>
  <c r="BP481"/>
  <c r="BO481"/>
  <c r="BN481"/>
  <c r="BM481"/>
  <c r="BL481"/>
  <c r="BK481"/>
  <c r="BJ481"/>
  <c r="BI481"/>
  <c r="BH481"/>
  <c r="BG481"/>
  <c r="BF481"/>
  <c r="BE481"/>
  <c r="BD481"/>
  <c r="BC481"/>
  <c r="BB481"/>
  <c r="BA481"/>
  <c r="AZ481"/>
  <c r="AY481"/>
  <c r="AX481"/>
  <c r="AW481"/>
  <c r="AV481"/>
  <c r="AU481"/>
  <c r="AT481"/>
  <c r="AS481"/>
  <c r="AR481"/>
  <c r="AQ481"/>
  <c r="AP481"/>
  <c r="AO481"/>
  <c r="AN481"/>
  <c r="AM481"/>
  <c r="AL481"/>
  <c r="AK481"/>
  <c r="AJ481"/>
  <c r="AI481"/>
  <c r="AH481"/>
  <c r="AG481"/>
  <c r="AF481"/>
  <c r="AE481"/>
  <c r="AD481"/>
  <c r="AC481"/>
  <c r="AB481"/>
  <c r="AA481"/>
  <c r="Z481"/>
  <c r="Y481"/>
  <c r="X481"/>
  <c r="W481"/>
  <c r="V481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D481"/>
  <c r="C481"/>
  <c r="B481"/>
  <c r="A481"/>
  <c r="CJ480"/>
  <c r="CI480"/>
  <c r="CH480"/>
  <c r="CG480"/>
  <c r="CF480"/>
  <c r="CE480"/>
  <c r="CD480"/>
  <c r="CC480"/>
  <c r="CB480"/>
  <c r="CA480"/>
  <c r="BZ480"/>
  <c r="BY480"/>
  <c r="BX480"/>
  <c r="BW480"/>
  <c r="BV480"/>
  <c r="BU480"/>
  <c r="BT480"/>
  <c r="BS480"/>
  <c r="BR480"/>
  <c r="BQ480"/>
  <c r="BP480"/>
  <c r="BO480"/>
  <c r="BN480"/>
  <c r="BM480"/>
  <c r="BL480"/>
  <c r="BK480"/>
  <c r="BJ480"/>
  <c r="BI480"/>
  <c r="BH480"/>
  <c r="BG480"/>
  <c r="BF480"/>
  <c r="BE480"/>
  <c r="BD480"/>
  <c r="BC480"/>
  <c r="BB480"/>
  <c r="BA480"/>
  <c r="AZ480"/>
  <c r="AY480"/>
  <c r="AX480"/>
  <c r="AW480"/>
  <c r="AV480"/>
  <c r="AU480"/>
  <c r="AT480"/>
  <c r="AS480"/>
  <c r="AR480"/>
  <c r="AQ480"/>
  <c r="AP480"/>
  <c r="AO480"/>
  <c r="AN480"/>
  <c r="AM480"/>
  <c r="AL480"/>
  <c r="AK480"/>
  <c r="AJ480"/>
  <c r="AI480"/>
  <c r="AH480"/>
  <c r="AG480"/>
  <c r="AF480"/>
  <c r="AE480"/>
  <c r="AD480"/>
  <c r="AC480"/>
  <c r="AB480"/>
  <c r="AA480"/>
  <c r="Z480"/>
  <c r="Y480"/>
  <c r="X480"/>
  <c r="W480"/>
  <c r="V480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D480"/>
  <c r="C480"/>
  <c r="B480"/>
  <c r="A480"/>
  <c r="CJ479"/>
  <c r="CI479"/>
  <c r="CH479"/>
  <c r="CG479"/>
  <c r="CF479"/>
  <c r="CE479"/>
  <c r="CD479"/>
  <c r="CC479"/>
  <c r="CB479"/>
  <c r="CA479"/>
  <c r="BZ479"/>
  <c r="BY479"/>
  <c r="BX479"/>
  <c r="BW479"/>
  <c r="BV479"/>
  <c r="BU479"/>
  <c r="BT479"/>
  <c r="BS479"/>
  <c r="BR479"/>
  <c r="BQ479"/>
  <c r="BP479"/>
  <c r="BO479"/>
  <c r="BN479"/>
  <c r="BM479"/>
  <c r="BL479"/>
  <c r="BK479"/>
  <c r="BJ479"/>
  <c r="BI479"/>
  <c r="BH479"/>
  <c r="BG479"/>
  <c r="BF479"/>
  <c r="BE479"/>
  <c r="BD479"/>
  <c r="BC479"/>
  <c r="BB479"/>
  <c r="BA479"/>
  <c r="AZ479"/>
  <c r="AY479"/>
  <c r="AX479"/>
  <c r="AW479"/>
  <c r="AV479"/>
  <c r="AU479"/>
  <c r="AT479"/>
  <c r="AS479"/>
  <c r="AR479"/>
  <c r="AQ479"/>
  <c r="AP479"/>
  <c r="AO479"/>
  <c r="AN479"/>
  <c r="AM479"/>
  <c r="AL479"/>
  <c r="AK479"/>
  <c r="AJ479"/>
  <c r="AI479"/>
  <c r="AH479"/>
  <c r="AG479"/>
  <c r="AF479"/>
  <c r="AE479"/>
  <c r="AD479"/>
  <c r="AC479"/>
  <c r="AB479"/>
  <c r="AA479"/>
  <c r="Z479"/>
  <c r="Y479"/>
  <c r="X479"/>
  <c r="W479"/>
  <c r="V479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D479"/>
  <c r="C479"/>
  <c r="B479"/>
  <c r="A479"/>
  <c r="CJ478"/>
  <c r="CI478"/>
  <c r="CH478"/>
  <c r="CG478"/>
  <c r="CF478"/>
  <c r="CE478"/>
  <c r="CD478"/>
  <c r="CC478"/>
  <c r="CB478"/>
  <c r="CA478"/>
  <c r="BZ478"/>
  <c r="BY478"/>
  <c r="BX478"/>
  <c r="BW478"/>
  <c r="BV478"/>
  <c r="BU478"/>
  <c r="BT478"/>
  <c r="BS478"/>
  <c r="BR478"/>
  <c r="BQ478"/>
  <c r="BP478"/>
  <c r="BO478"/>
  <c r="BN478"/>
  <c r="BM478"/>
  <c r="BL478"/>
  <c r="BK478"/>
  <c r="BJ478"/>
  <c r="BI478"/>
  <c r="BH478"/>
  <c r="BG478"/>
  <c r="BF478"/>
  <c r="BE478"/>
  <c r="BD478"/>
  <c r="BC478"/>
  <c r="BB478"/>
  <c r="BA478"/>
  <c r="AZ478"/>
  <c r="AY478"/>
  <c r="AX478"/>
  <c r="AW478"/>
  <c r="AV478"/>
  <c r="AU478"/>
  <c r="AT478"/>
  <c r="AS478"/>
  <c r="AR478"/>
  <c r="AQ478"/>
  <c r="AP478"/>
  <c r="AO478"/>
  <c r="AN478"/>
  <c r="AM478"/>
  <c r="AL478"/>
  <c r="AK478"/>
  <c r="AJ478"/>
  <c r="AI478"/>
  <c r="AH478"/>
  <c r="AG478"/>
  <c r="AF478"/>
  <c r="AE478"/>
  <c r="AD478"/>
  <c r="AC478"/>
  <c r="AB478"/>
  <c r="AA478"/>
  <c r="Z478"/>
  <c r="Y478"/>
  <c r="X478"/>
  <c r="W478"/>
  <c r="V478"/>
  <c r="U478"/>
  <c r="T478"/>
  <c r="S478"/>
  <c r="R478"/>
  <c r="Q478"/>
  <c r="P478"/>
  <c r="O478"/>
  <c r="N478"/>
  <c r="M478"/>
  <c r="L478"/>
  <c r="K478"/>
  <c r="J478"/>
  <c r="I478"/>
  <c r="H478"/>
  <c r="G478"/>
  <c r="F478"/>
  <c r="E478"/>
  <c r="D478"/>
  <c r="C478"/>
  <c r="B478"/>
  <c r="A478"/>
  <c r="CJ477"/>
  <c r="CI477"/>
  <c r="CH477"/>
  <c r="CG477"/>
  <c r="CF477"/>
  <c r="CE477"/>
  <c r="CD477"/>
  <c r="CC477"/>
  <c r="CB477"/>
  <c r="CA477"/>
  <c r="BZ477"/>
  <c r="BY477"/>
  <c r="BX477"/>
  <c r="BW477"/>
  <c r="BV477"/>
  <c r="BU477"/>
  <c r="BT477"/>
  <c r="BS477"/>
  <c r="BR477"/>
  <c r="BQ477"/>
  <c r="BP477"/>
  <c r="BO477"/>
  <c r="BN477"/>
  <c r="BM477"/>
  <c r="BL477"/>
  <c r="BK477"/>
  <c r="BJ477"/>
  <c r="BI477"/>
  <c r="BH477"/>
  <c r="BG477"/>
  <c r="BF477"/>
  <c r="BE477"/>
  <c r="BD477"/>
  <c r="BC477"/>
  <c r="BB477"/>
  <c r="BA477"/>
  <c r="AZ477"/>
  <c r="AY477"/>
  <c r="AX477"/>
  <c r="AW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AE477"/>
  <c r="AD477"/>
  <c r="AC477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D477"/>
  <c r="C477"/>
  <c r="B477"/>
  <c r="A477"/>
  <c r="CJ476"/>
  <c r="CI476"/>
  <c r="CH476"/>
  <c r="CG476"/>
  <c r="CF476"/>
  <c r="CE476"/>
  <c r="CD476"/>
  <c r="CC476"/>
  <c r="CB476"/>
  <c r="CA476"/>
  <c r="BZ476"/>
  <c r="BY476"/>
  <c r="BX476"/>
  <c r="BW476"/>
  <c r="BV476"/>
  <c r="BU476"/>
  <c r="BT476"/>
  <c r="BS476"/>
  <c r="BR476"/>
  <c r="BQ476"/>
  <c r="BP476"/>
  <c r="BO476"/>
  <c r="BN476"/>
  <c r="BM476"/>
  <c r="BL476"/>
  <c r="BK476"/>
  <c r="BJ476"/>
  <c r="BI476"/>
  <c r="BH476"/>
  <c r="BG476"/>
  <c r="BF476"/>
  <c r="BE476"/>
  <c r="BD476"/>
  <c r="BC476"/>
  <c r="BB476"/>
  <c r="BA476"/>
  <c r="AZ476"/>
  <c r="AY476"/>
  <c r="AX476"/>
  <c r="AW476"/>
  <c r="AV476"/>
  <c r="AU476"/>
  <c r="AT476"/>
  <c r="AS476"/>
  <c r="AR476"/>
  <c r="AQ476"/>
  <c r="AP476"/>
  <c r="AO476"/>
  <c r="AN476"/>
  <c r="AM476"/>
  <c r="AL476"/>
  <c r="AK476"/>
  <c r="AJ476"/>
  <c r="AI476"/>
  <c r="AH476"/>
  <c r="AG476"/>
  <c r="AF476"/>
  <c r="AE476"/>
  <c r="AD476"/>
  <c r="AC476"/>
  <c r="AB476"/>
  <c r="AA476"/>
  <c r="Z476"/>
  <c r="Y476"/>
  <c r="X476"/>
  <c r="W476"/>
  <c r="V476"/>
  <c r="U476"/>
  <c r="T476"/>
  <c r="S476"/>
  <c r="R476"/>
  <c r="Q476"/>
  <c r="P476"/>
  <c r="O476"/>
  <c r="N476"/>
  <c r="M476"/>
  <c r="L476"/>
  <c r="K476"/>
  <c r="J476"/>
  <c r="I476"/>
  <c r="H476"/>
  <c r="G476"/>
  <c r="F476"/>
  <c r="E476"/>
  <c r="D476"/>
  <c r="C476"/>
  <c r="B476"/>
  <c r="A476"/>
  <c r="CJ475"/>
  <c r="CI475"/>
  <c r="CH475"/>
  <c r="CG475"/>
  <c r="CF475"/>
  <c r="CE475"/>
  <c r="CD475"/>
  <c r="CC475"/>
  <c r="CB475"/>
  <c r="CA475"/>
  <c r="BZ475"/>
  <c r="BY475"/>
  <c r="BX475"/>
  <c r="BW475"/>
  <c r="BV475"/>
  <c r="BU475"/>
  <c r="BT475"/>
  <c r="BS475"/>
  <c r="BR475"/>
  <c r="BQ475"/>
  <c r="BP475"/>
  <c r="BO475"/>
  <c r="BN475"/>
  <c r="BM475"/>
  <c r="BL475"/>
  <c r="BK475"/>
  <c r="BJ475"/>
  <c r="BI475"/>
  <c r="BH475"/>
  <c r="BG475"/>
  <c r="BF475"/>
  <c r="BE475"/>
  <c r="BD475"/>
  <c r="BC475"/>
  <c r="BB475"/>
  <c r="BA475"/>
  <c r="AZ475"/>
  <c r="AY475"/>
  <c r="AX475"/>
  <c r="AW475"/>
  <c r="AV475"/>
  <c r="AU475"/>
  <c r="AT475"/>
  <c r="AS475"/>
  <c r="AR475"/>
  <c r="AQ475"/>
  <c r="AP475"/>
  <c r="AO475"/>
  <c r="AN475"/>
  <c r="AM475"/>
  <c r="AL475"/>
  <c r="AK475"/>
  <c r="AJ475"/>
  <c r="AI475"/>
  <c r="AH475"/>
  <c r="AG475"/>
  <c r="AF475"/>
  <c r="AE475"/>
  <c r="AD475"/>
  <c r="AC475"/>
  <c r="AB475"/>
  <c r="AA475"/>
  <c r="Z475"/>
  <c r="Y475"/>
  <c r="X475"/>
  <c r="W475"/>
  <c r="V475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D475"/>
  <c r="C475"/>
  <c r="B475"/>
  <c r="A475"/>
  <c r="CJ474"/>
  <c r="CI474"/>
  <c r="CH474"/>
  <c r="CG474"/>
  <c r="CF474"/>
  <c r="CE474"/>
  <c r="CD474"/>
  <c r="CC474"/>
  <c r="CB474"/>
  <c r="CA474"/>
  <c r="BZ474"/>
  <c r="BY474"/>
  <c r="BX474"/>
  <c r="BW474"/>
  <c r="BV474"/>
  <c r="BU474"/>
  <c r="BT474"/>
  <c r="BS474"/>
  <c r="BR474"/>
  <c r="BQ474"/>
  <c r="BP474"/>
  <c r="BO474"/>
  <c r="BN474"/>
  <c r="BM474"/>
  <c r="BL474"/>
  <c r="BK474"/>
  <c r="BJ474"/>
  <c r="BI474"/>
  <c r="BH474"/>
  <c r="BG474"/>
  <c r="BF474"/>
  <c r="BE474"/>
  <c r="BD474"/>
  <c r="BC474"/>
  <c r="BB474"/>
  <c r="BA474"/>
  <c r="AZ474"/>
  <c r="AY474"/>
  <c r="AX474"/>
  <c r="AW474"/>
  <c r="AV474"/>
  <c r="AU474"/>
  <c r="AT474"/>
  <c r="AS474"/>
  <c r="AR474"/>
  <c r="AQ474"/>
  <c r="AP474"/>
  <c r="AO474"/>
  <c r="AN474"/>
  <c r="AM474"/>
  <c r="AL474"/>
  <c r="AK474"/>
  <c r="AJ474"/>
  <c r="AI474"/>
  <c r="AH474"/>
  <c r="AG474"/>
  <c r="AF474"/>
  <c r="AE474"/>
  <c r="AD474"/>
  <c r="AC474"/>
  <c r="AB474"/>
  <c r="AA474"/>
  <c r="Z474"/>
  <c r="Y474"/>
  <c r="X474"/>
  <c r="W474"/>
  <c r="V474"/>
  <c r="U474"/>
  <c r="T474"/>
  <c r="S474"/>
  <c r="R474"/>
  <c r="Q474"/>
  <c r="P474"/>
  <c r="O474"/>
  <c r="N474"/>
  <c r="M474"/>
  <c r="L474"/>
  <c r="K474"/>
  <c r="J474"/>
  <c r="I474"/>
  <c r="H474"/>
  <c r="G474"/>
  <c r="F474"/>
  <c r="E474"/>
  <c r="D474"/>
  <c r="C474"/>
  <c r="B474"/>
  <c r="A474"/>
  <c r="CJ473"/>
  <c r="CI473"/>
  <c r="CH473"/>
  <c r="CG473"/>
  <c r="CF473"/>
  <c r="CE473"/>
  <c r="CD473"/>
  <c r="CC473"/>
  <c r="CB473"/>
  <c r="CA473"/>
  <c r="BZ473"/>
  <c r="BY473"/>
  <c r="BX473"/>
  <c r="BW473"/>
  <c r="BV473"/>
  <c r="BU473"/>
  <c r="BT473"/>
  <c r="BS473"/>
  <c r="BR473"/>
  <c r="BQ473"/>
  <c r="BP473"/>
  <c r="BO473"/>
  <c r="BN473"/>
  <c r="BM473"/>
  <c r="BL473"/>
  <c r="BK473"/>
  <c r="BJ473"/>
  <c r="BI473"/>
  <c r="BH473"/>
  <c r="BG473"/>
  <c r="BF473"/>
  <c r="BE473"/>
  <c r="BD473"/>
  <c r="BC473"/>
  <c r="BB473"/>
  <c r="BA473"/>
  <c r="AZ473"/>
  <c r="AY473"/>
  <c r="AX473"/>
  <c r="AW473"/>
  <c r="AV473"/>
  <c r="AU473"/>
  <c r="AT473"/>
  <c r="AS473"/>
  <c r="AR473"/>
  <c r="AQ473"/>
  <c r="AP473"/>
  <c r="AO473"/>
  <c r="AN473"/>
  <c r="AM473"/>
  <c r="AL473"/>
  <c r="AK473"/>
  <c r="AJ473"/>
  <c r="AI473"/>
  <c r="AH473"/>
  <c r="AG473"/>
  <c r="AF473"/>
  <c r="AE473"/>
  <c r="AD473"/>
  <c r="AC473"/>
  <c r="AB473"/>
  <c r="AA473"/>
  <c r="Z473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H473"/>
  <c r="G473"/>
  <c r="F473"/>
  <c r="E473"/>
  <c r="D473"/>
  <c r="C473"/>
  <c r="B473"/>
  <c r="A473"/>
  <c r="CJ472"/>
  <c r="CI472"/>
  <c r="CH472"/>
  <c r="CG472"/>
  <c r="CF472"/>
  <c r="CE472"/>
  <c r="CD472"/>
  <c r="CC472"/>
  <c r="CB472"/>
  <c r="CA472"/>
  <c r="BZ472"/>
  <c r="BY472"/>
  <c r="BX472"/>
  <c r="BW472"/>
  <c r="BV472"/>
  <c r="BU472"/>
  <c r="BT472"/>
  <c r="BS472"/>
  <c r="BR472"/>
  <c r="BQ472"/>
  <c r="BP472"/>
  <c r="BO472"/>
  <c r="BN472"/>
  <c r="BM472"/>
  <c r="BL472"/>
  <c r="BK472"/>
  <c r="BJ472"/>
  <c r="BI472"/>
  <c r="BH472"/>
  <c r="BG472"/>
  <c r="BF472"/>
  <c r="BE472"/>
  <c r="BD472"/>
  <c r="BC472"/>
  <c r="BB472"/>
  <c r="BA472"/>
  <c r="AZ472"/>
  <c r="AY472"/>
  <c r="AX472"/>
  <c r="AW472"/>
  <c r="AV472"/>
  <c r="AU472"/>
  <c r="AT472"/>
  <c r="AS472"/>
  <c r="AR472"/>
  <c r="AQ472"/>
  <c r="AP472"/>
  <c r="AO472"/>
  <c r="AN472"/>
  <c r="AM472"/>
  <c r="AL472"/>
  <c r="AK472"/>
  <c r="AJ472"/>
  <c r="AI472"/>
  <c r="AH472"/>
  <c r="AG472"/>
  <c r="AF472"/>
  <c r="AE472"/>
  <c r="AD472"/>
  <c r="AC472"/>
  <c r="AB472"/>
  <c r="AA472"/>
  <c r="Z472"/>
  <c r="Y472"/>
  <c r="X472"/>
  <c r="W472"/>
  <c r="V472"/>
  <c r="U472"/>
  <c r="T472"/>
  <c r="S472"/>
  <c r="R472"/>
  <c r="Q472"/>
  <c r="P472"/>
  <c r="O472"/>
  <c r="N472"/>
  <c r="M472"/>
  <c r="L472"/>
  <c r="K472"/>
  <c r="J472"/>
  <c r="I472"/>
  <c r="H472"/>
  <c r="G472"/>
  <c r="F472"/>
  <c r="E472"/>
  <c r="D472"/>
  <c r="C472"/>
  <c r="B472"/>
  <c r="A472"/>
  <c r="CJ471"/>
  <c r="CI471"/>
  <c r="CH471"/>
  <c r="CG471"/>
  <c r="CF471"/>
  <c r="CE471"/>
  <c r="CD471"/>
  <c r="CC471"/>
  <c r="CB471"/>
  <c r="CA471"/>
  <c r="BZ471"/>
  <c r="BY471"/>
  <c r="BX471"/>
  <c r="BW471"/>
  <c r="BV471"/>
  <c r="BU471"/>
  <c r="BT471"/>
  <c r="BS471"/>
  <c r="BR471"/>
  <c r="BQ471"/>
  <c r="BP471"/>
  <c r="BO471"/>
  <c r="BN471"/>
  <c r="BM471"/>
  <c r="BL471"/>
  <c r="BK471"/>
  <c r="BJ471"/>
  <c r="BI471"/>
  <c r="BH471"/>
  <c r="BG471"/>
  <c r="BF471"/>
  <c r="BE471"/>
  <c r="BD471"/>
  <c r="BC471"/>
  <c r="BB471"/>
  <c r="BA471"/>
  <c r="AZ471"/>
  <c r="AY471"/>
  <c r="AX471"/>
  <c r="AW471"/>
  <c r="AV471"/>
  <c r="AU471"/>
  <c r="AT471"/>
  <c r="AS471"/>
  <c r="AR471"/>
  <c r="AQ471"/>
  <c r="AP471"/>
  <c r="AO471"/>
  <c r="AN471"/>
  <c r="AM471"/>
  <c r="AL471"/>
  <c r="AK471"/>
  <c r="AJ471"/>
  <c r="AI471"/>
  <c r="AH471"/>
  <c r="AG471"/>
  <c r="AF471"/>
  <c r="AE471"/>
  <c r="AD471"/>
  <c r="AC471"/>
  <c r="AB471"/>
  <c r="AA471"/>
  <c r="Z471"/>
  <c r="Y471"/>
  <c r="X471"/>
  <c r="W471"/>
  <c r="V471"/>
  <c r="U471"/>
  <c r="T471"/>
  <c r="S471"/>
  <c r="R471"/>
  <c r="Q471"/>
  <c r="P471"/>
  <c r="O471"/>
  <c r="N471"/>
  <c r="M471"/>
  <c r="L471"/>
  <c r="K471"/>
  <c r="J471"/>
  <c r="I471"/>
  <c r="H471"/>
  <c r="G471"/>
  <c r="F471"/>
  <c r="E471"/>
  <c r="D471"/>
  <c r="C471"/>
  <c r="B471"/>
  <c r="A471"/>
  <c r="CJ470"/>
  <c r="CI470"/>
  <c r="CH470"/>
  <c r="CG470"/>
  <c r="CF470"/>
  <c r="CE470"/>
  <c r="CD470"/>
  <c r="CC470"/>
  <c r="CB470"/>
  <c r="CA470"/>
  <c r="BZ470"/>
  <c r="BY470"/>
  <c r="BX470"/>
  <c r="BW470"/>
  <c r="BV470"/>
  <c r="BU470"/>
  <c r="BT470"/>
  <c r="BS470"/>
  <c r="BR470"/>
  <c r="BQ470"/>
  <c r="BP470"/>
  <c r="BO470"/>
  <c r="BN470"/>
  <c r="BM470"/>
  <c r="BL470"/>
  <c r="BK470"/>
  <c r="BJ470"/>
  <c r="BI470"/>
  <c r="BH470"/>
  <c r="BG470"/>
  <c r="BF470"/>
  <c r="BE470"/>
  <c r="BD470"/>
  <c r="BC470"/>
  <c r="BB470"/>
  <c r="BA470"/>
  <c r="AZ470"/>
  <c r="AY470"/>
  <c r="AX470"/>
  <c r="AW470"/>
  <c r="AV470"/>
  <c r="AU470"/>
  <c r="AT470"/>
  <c r="AS470"/>
  <c r="AR470"/>
  <c r="AQ470"/>
  <c r="AP470"/>
  <c r="AO470"/>
  <c r="AN470"/>
  <c r="AM470"/>
  <c r="AL470"/>
  <c r="AK470"/>
  <c r="AJ470"/>
  <c r="AI470"/>
  <c r="AH470"/>
  <c r="AG470"/>
  <c r="AF470"/>
  <c r="AE470"/>
  <c r="AD470"/>
  <c r="AC470"/>
  <c r="AB470"/>
  <c r="AA470"/>
  <c r="Z470"/>
  <c r="Y470"/>
  <c r="X470"/>
  <c r="W470"/>
  <c r="V470"/>
  <c r="U470"/>
  <c r="T470"/>
  <c r="S470"/>
  <c r="R470"/>
  <c r="Q470"/>
  <c r="P470"/>
  <c r="O470"/>
  <c r="N470"/>
  <c r="M470"/>
  <c r="L470"/>
  <c r="K470"/>
  <c r="J470"/>
  <c r="I470"/>
  <c r="H470"/>
  <c r="G470"/>
  <c r="F470"/>
  <c r="E470"/>
  <c r="D470"/>
  <c r="C470"/>
  <c r="B470"/>
  <c r="A470"/>
  <c r="CJ469"/>
  <c r="CI469"/>
  <c r="CH469"/>
  <c r="CG469"/>
  <c r="CF469"/>
  <c r="CE469"/>
  <c r="CD469"/>
  <c r="CC469"/>
  <c r="CB469"/>
  <c r="CA469"/>
  <c r="BZ469"/>
  <c r="BY469"/>
  <c r="BX469"/>
  <c r="BW469"/>
  <c r="BV469"/>
  <c r="BU469"/>
  <c r="BT469"/>
  <c r="BS469"/>
  <c r="BR469"/>
  <c r="BQ469"/>
  <c r="BP469"/>
  <c r="BO469"/>
  <c r="BN469"/>
  <c r="BM469"/>
  <c r="BL469"/>
  <c r="BK469"/>
  <c r="BJ469"/>
  <c r="BI469"/>
  <c r="BH469"/>
  <c r="BG469"/>
  <c r="BF469"/>
  <c r="BE469"/>
  <c r="BD469"/>
  <c r="BC469"/>
  <c r="BB469"/>
  <c r="BA469"/>
  <c r="AZ469"/>
  <c r="AY469"/>
  <c r="AX469"/>
  <c r="AW469"/>
  <c r="AV469"/>
  <c r="AU469"/>
  <c r="AT469"/>
  <c r="AS469"/>
  <c r="AR469"/>
  <c r="AQ469"/>
  <c r="AP469"/>
  <c r="AO469"/>
  <c r="AN469"/>
  <c r="AM469"/>
  <c r="AL469"/>
  <c r="AK469"/>
  <c r="AJ469"/>
  <c r="AI469"/>
  <c r="AH469"/>
  <c r="AG469"/>
  <c r="AF469"/>
  <c r="AE469"/>
  <c r="AD469"/>
  <c r="AC469"/>
  <c r="AB469"/>
  <c r="AA469"/>
  <c r="Z469"/>
  <c r="Y469"/>
  <c r="X469"/>
  <c r="W469"/>
  <c r="V469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D469"/>
  <c r="C469"/>
  <c r="B469"/>
  <c r="A469"/>
  <c r="CJ468"/>
  <c r="CI468"/>
  <c r="CH468"/>
  <c r="CG468"/>
  <c r="CF468"/>
  <c r="CE468"/>
  <c r="CD468"/>
  <c r="CC468"/>
  <c r="CB468"/>
  <c r="CA468"/>
  <c r="BZ468"/>
  <c r="BY468"/>
  <c r="BX468"/>
  <c r="BW468"/>
  <c r="BV468"/>
  <c r="BU468"/>
  <c r="BT468"/>
  <c r="BS468"/>
  <c r="BR468"/>
  <c r="BQ468"/>
  <c r="BP468"/>
  <c r="BO468"/>
  <c r="BN468"/>
  <c r="BM468"/>
  <c r="BL468"/>
  <c r="BK468"/>
  <c r="BJ468"/>
  <c r="BI468"/>
  <c r="BH468"/>
  <c r="BG468"/>
  <c r="BF468"/>
  <c r="BE468"/>
  <c r="BD468"/>
  <c r="BC468"/>
  <c r="BB468"/>
  <c r="BA468"/>
  <c r="AZ468"/>
  <c r="AY468"/>
  <c r="AX468"/>
  <c r="AW468"/>
  <c r="AV468"/>
  <c r="AU468"/>
  <c r="AT468"/>
  <c r="AS468"/>
  <c r="AR468"/>
  <c r="AQ468"/>
  <c r="AP468"/>
  <c r="AO468"/>
  <c r="AN468"/>
  <c r="AM468"/>
  <c r="AL468"/>
  <c r="AK468"/>
  <c r="AJ468"/>
  <c r="AI468"/>
  <c r="AH468"/>
  <c r="AG468"/>
  <c r="AF468"/>
  <c r="AE468"/>
  <c r="AD468"/>
  <c r="AC468"/>
  <c r="AB468"/>
  <c r="AA468"/>
  <c r="Z468"/>
  <c r="Y468"/>
  <c r="X468"/>
  <c r="W468"/>
  <c r="V468"/>
  <c r="U468"/>
  <c r="T468"/>
  <c r="S468"/>
  <c r="R468"/>
  <c r="Q468"/>
  <c r="P468"/>
  <c r="O468"/>
  <c r="N468"/>
  <c r="M468"/>
  <c r="L468"/>
  <c r="K468"/>
  <c r="J468"/>
  <c r="I468"/>
  <c r="H468"/>
  <c r="G468"/>
  <c r="F468"/>
  <c r="E468"/>
  <c r="D468"/>
  <c r="C468"/>
  <c r="B468"/>
  <c r="A468"/>
  <c r="CJ467"/>
  <c r="CI467"/>
  <c r="CH467"/>
  <c r="CG467"/>
  <c r="CF467"/>
  <c r="CE467"/>
  <c r="CD467"/>
  <c r="CC467"/>
  <c r="CB467"/>
  <c r="CA467"/>
  <c r="BZ467"/>
  <c r="BY467"/>
  <c r="BX467"/>
  <c r="BW467"/>
  <c r="BV467"/>
  <c r="BU467"/>
  <c r="BT467"/>
  <c r="BS467"/>
  <c r="BR467"/>
  <c r="BQ467"/>
  <c r="BP467"/>
  <c r="BO467"/>
  <c r="BN467"/>
  <c r="BM467"/>
  <c r="BL467"/>
  <c r="BK467"/>
  <c r="BJ467"/>
  <c r="BI467"/>
  <c r="BH467"/>
  <c r="BG467"/>
  <c r="BF467"/>
  <c r="BE467"/>
  <c r="BD467"/>
  <c r="BC467"/>
  <c r="BB467"/>
  <c r="BA467"/>
  <c r="AZ467"/>
  <c r="AY467"/>
  <c r="AX467"/>
  <c r="AW467"/>
  <c r="AV467"/>
  <c r="AU467"/>
  <c r="AT467"/>
  <c r="AS467"/>
  <c r="AR467"/>
  <c r="AQ467"/>
  <c r="AP467"/>
  <c r="AO467"/>
  <c r="AN467"/>
  <c r="AM467"/>
  <c r="AL467"/>
  <c r="AK467"/>
  <c r="AJ467"/>
  <c r="AI467"/>
  <c r="AH467"/>
  <c r="AG467"/>
  <c r="AF467"/>
  <c r="AE467"/>
  <c r="AD467"/>
  <c r="AC467"/>
  <c r="AB467"/>
  <c r="AA467"/>
  <c r="Z467"/>
  <c r="Y467"/>
  <c r="X467"/>
  <c r="W467"/>
  <c r="V467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D467"/>
  <c r="C467"/>
  <c r="B467"/>
  <c r="A467"/>
  <c r="CJ466"/>
  <c r="CI466"/>
  <c r="CH466"/>
  <c r="CG466"/>
  <c r="CF466"/>
  <c r="CE466"/>
  <c r="CD466"/>
  <c r="CC466"/>
  <c r="CB466"/>
  <c r="CA466"/>
  <c r="BZ466"/>
  <c r="BY466"/>
  <c r="BX466"/>
  <c r="BW466"/>
  <c r="BV466"/>
  <c r="BU466"/>
  <c r="BT466"/>
  <c r="BS466"/>
  <c r="BR466"/>
  <c r="BQ466"/>
  <c r="BP466"/>
  <c r="BO466"/>
  <c r="BN466"/>
  <c r="BM466"/>
  <c r="BL466"/>
  <c r="BK466"/>
  <c r="BJ466"/>
  <c r="BI466"/>
  <c r="BH466"/>
  <c r="BG466"/>
  <c r="BF466"/>
  <c r="BE466"/>
  <c r="BD466"/>
  <c r="BC466"/>
  <c r="BB466"/>
  <c r="BA466"/>
  <c r="AZ466"/>
  <c r="AY466"/>
  <c r="AX466"/>
  <c r="AW466"/>
  <c r="AV466"/>
  <c r="AU466"/>
  <c r="AT466"/>
  <c r="AS466"/>
  <c r="AR466"/>
  <c r="AQ466"/>
  <c r="AP466"/>
  <c r="AO466"/>
  <c r="AN466"/>
  <c r="AM466"/>
  <c r="AL466"/>
  <c r="AK466"/>
  <c r="AJ466"/>
  <c r="AI466"/>
  <c r="AH466"/>
  <c r="AG466"/>
  <c r="AF466"/>
  <c r="AE466"/>
  <c r="AD466"/>
  <c r="AC466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D466"/>
  <c r="C466"/>
  <c r="B466"/>
  <c r="A466"/>
  <c r="CJ465"/>
  <c r="CI465"/>
  <c r="CH465"/>
  <c r="CG465"/>
  <c r="CF465"/>
  <c r="CE465"/>
  <c r="CD465"/>
  <c r="CC465"/>
  <c r="CB465"/>
  <c r="CA465"/>
  <c r="BZ465"/>
  <c r="BY465"/>
  <c r="BX465"/>
  <c r="BW465"/>
  <c r="BV465"/>
  <c r="BU465"/>
  <c r="BT465"/>
  <c r="BS465"/>
  <c r="BR465"/>
  <c r="BQ465"/>
  <c r="BP465"/>
  <c r="BO465"/>
  <c r="BN465"/>
  <c r="BM465"/>
  <c r="BL465"/>
  <c r="BK465"/>
  <c r="BJ465"/>
  <c r="BI465"/>
  <c r="BH465"/>
  <c r="BG465"/>
  <c r="BF465"/>
  <c r="BE465"/>
  <c r="BD465"/>
  <c r="BC465"/>
  <c r="BB465"/>
  <c r="BA465"/>
  <c r="AZ465"/>
  <c r="AY465"/>
  <c r="AX465"/>
  <c r="AW465"/>
  <c r="AV465"/>
  <c r="AU465"/>
  <c r="AT465"/>
  <c r="AS465"/>
  <c r="AR465"/>
  <c r="AQ465"/>
  <c r="AP465"/>
  <c r="AO465"/>
  <c r="AN465"/>
  <c r="AM465"/>
  <c r="AL465"/>
  <c r="AK465"/>
  <c r="AJ465"/>
  <c r="AI465"/>
  <c r="AH465"/>
  <c r="AG465"/>
  <c r="AF465"/>
  <c r="AE465"/>
  <c r="AD465"/>
  <c r="AC465"/>
  <c r="AB465"/>
  <c r="AA465"/>
  <c r="Z465"/>
  <c r="Y465"/>
  <c r="X465"/>
  <c r="W465"/>
  <c r="V465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D465"/>
  <c r="C465"/>
  <c r="B465"/>
  <c r="A465"/>
  <c r="CJ464"/>
  <c r="CI464"/>
  <c r="CH464"/>
  <c r="CG464"/>
  <c r="CF464"/>
  <c r="CE464"/>
  <c r="CD464"/>
  <c r="CC464"/>
  <c r="CB464"/>
  <c r="CA464"/>
  <c r="BZ464"/>
  <c r="BY464"/>
  <c r="BX464"/>
  <c r="BW464"/>
  <c r="BV464"/>
  <c r="BU464"/>
  <c r="BT464"/>
  <c r="BS464"/>
  <c r="BR464"/>
  <c r="BQ464"/>
  <c r="BP464"/>
  <c r="BO464"/>
  <c r="BN464"/>
  <c r="BM464"/>
  <c r="BL464"/>
  <c r="BK464"/>
  <c r="BJ464"/>
  <c r="BI464"/>
  <c r="BH464"/>
  <c r="BG464"/>
  <c r="BF464"/>
  <c r="BE464"/>
  <c r="BD464"/>
  <c r="BC464"/>
  <c r="BB464"/>
  <c r="BA464"/>
  <c r="AZ464"/>
  <c r="AY464"/>
  <c r="AX464"/>
  <c r="AW464"/>
  <c r="AV464"/>
  <c r="AU464"/>
  <c r="AT464"/>
  <c r="AS464"/>
  <c r="AR464"/>
  <c r="AQ464"/>
  <c r="AP464"/>
  <c r="AO464"/>
  <c r="AN464"/>
  <c r="AM464"/>
  <c r="AL464"/>
  <c r="AK464"/>
  <c r="AJ464"/>
  <c r="AI464"/>
  <c r="AH464"/>
  <c r="AG464"/>
  <c r="AF464"/>
  <c r="AE464"/>
  <c r="AD464"/>
  <c r="AC464"/>
  <c r="AB464"/>
  <c r="AA464"/>
  <c r="Z464"/>
  <c r="Y464"/>
  <c r="X464"/>
  <c r="W464"/>
  <c r="V464"/>
  <c r="U464"/>
  <c r="T464"/>
  <c r="S464"/>
  <c r="R464"/>
  <c r="Q464"/>
  <c r="P464"/>
  <c r="O464"/>
  <c r="N464"/>
  <c r="M464"/>
  <c r="L464"/>
  <c r="K464"/>
  <c r="J464"/>
  <c r="I464"/>
  <c r="H464"/>
  <c r="G464"/>
  <c r="F464"/>
  <c r="E464"/>
  <c r="D464"/>
  <c r="C464"/>
  <c r="B464"/>
  <c r="A464"/>
  <c r="CJ463"/>
  <c r="CI463"/>
  <c r="CH463"/>
  <c r="CG463"/>
  <c r="CF463"/>
  <c r="CE463"/>
  <c r="CD463"/>
  <c r="CC463"/>
  <c r="CB463"/>
  <c r="CA463"/>
  <c r="BZ463"/>
  <c r="BY463"/>
  <c r="BX463"/>
  <c r="BW463"/>
  <c r="BV463"/>
  <c r="BU463"/>
  <c r="BT463"/>
  <c r="BS463"/>
  <c r="BR463"/>
  <c r="BQ463"/>
  <c r="BP463"/>
  <c r="BO463"/>
  <c r="BN463"/>
  <c r="BM463"/>
  <c r="BL463"/>
  <c r="BK463"/>
  <c r="BJ463"/>
  <c r="BI463"/>
  <c r="BH463"/>
  <c r="BG463"/>
  <c r="BF463"/>
  <c r="BE463"/>
  <c r="BD463"/>
  <c r="BC463"/>
  <c r="BB463"/>
  <c r="BA463"/>
  <c r="AZ463"/>
  <c r="AY463"/>
  <c r="AX463"/>
  <c r="AW463"/>
  <c r="AV463"/>
  <c r="AU463"/>
  <c r="AT463"/>
  <c r="AS463"/>
  <c r="AR463"/>
  <c r="AQ463"/>
  <c r="AP463"/>
  <c r="AO463"/>
  <c r="AN463"/>
  <c r="AM463"/>
  <c r="AL463"/>
  <c r="AK463"/>
  <c r="AJ463"/>
  <c r="AI463"/>
  <c r="AH463"/>
  <c r="AG463"/>
  <c r="AF463"/>
  <c r="AE463"/>
  <c r="AD463"/>
  <c r="AC463"/>
  <c r="AB463"/>
  <c r="AA463"/>
  <c r="Z463"/>
  <c r="Y463"/>
  <c r="X463"/>
  <c r="W463"/>
  <c r="V463"/>
  <c r="U463"/>
  <c r="T463"/>
  <c r="S463"/>
  <c r="R463"/>
  <c r="Q463"/>
  <c r="P463"/>
  <c r="O463"/>
  <c r="N463"/>
  <c r="M463"/>
  <c r="L463"/>
  <c r="K463"/>
  <c r="J463"/>
  <c r="I463"/>
  <c r="H463"/>
  <c r="G463"/>
  <c r="F463"/>
  <c r="E463"/>
  <c r="D463"/>
  <c r="C463"/>
  <c r="B463"/>
  <c r="A463"/>
  <c r="CJ462"/>
  <c r="CI462"/>
  <c r="CH462"/>
  <c r="CG462"/>
  <c r="CF462"/>
  <c r="CE462"/>
  <c r="CD462"/>
  <c r="CC462"/>
  <c r="CB462"/>
  <c r="CA462"/>
  <c r="BZ462"/>
  <c r="BY462"/>
  <c r="BX462"/>
  <c r="BW462"/>
  <c r="BV462"/>
  <c r="BU462"/>
  <c r="BT462"/>
  <c r="BS462"/>
  <c r="BR462"/>
  <c r="BQ462"/>
  <c r="BP462"/>
  <c r="BO462"/>
  <c r="BN462"/>
  <c r="BM462"/>
  <c r="BL462"/>
  <c r="BK462"/>
  <c r="BJ462"/>
  <c r="BI462"/>
  <c r="BH462"/>
  <c r="BG462"/>
  <c r="BF462"/>
  <c r="BE462"/>
  <c r="BD462"/>
  <c r="BC462"/>
  <c r="BB462"/>
  <c r="BA462"/>
  <c r="AZ462"/>
  <c r="AY462"/>
  <c r="AX462"/>
  <c r="AW462"/>
  <c r="AV462"/>
  <c r="AU462"/>
  <c r="AT462"/>
  <c r="AS462"/>
  <c r="AR462"/>
  <c r="AQ462"/>
  <c r="AP462"/>
  <c r="AO462"/>
  <c r="AN462"/>
  <c r="AM462"/>
  <c r="AL462"/>
  <c r="AK462"/>
  <c r="AJ462"/>
  <c r="AI462"/>
  <c r="AH462"/>
  <c r="AG462"/>
  <c r="AF462"/>
  <c r="AE462"/>
  <c r="AD462"/>
  <c r="AC462"/>
  <c r="AB462"/>
  <c r="AA462"/>
  <c r="Z462"/>
  <c r="Y462"/>
  <c r="X462"/>
  <c r="W462"/>
  <c r="V462"/>
  <c r="U462"/>
  <c r="T462"/>
  <c r="S462"/>
  <c r="R462"/>
  <c r="Q462"/>
  <c r="P462"/>
  <c r="O462"/>
  <c r="N462"/>
  <c r="M462"/>
  <c r="L462"/>
  <c r="K462"/>
  <c r="J462"/>
  <c r="I462"/>
  <c r="H462"/>
  <c r="G462"/>
  <c r="F462"/>
  <c r="E462"/>
  <c r="D462"/>
  <c r="C462"/>
  <c r="B462"/>
  <c r="A462"/>
  <c r="CJ461"/>
  <c r="CI461"/>
  <c r="CH461"/>
  <c r="CG461"/>
  <c r="CF461"/>
  <c r="CE461"/>
  <c r="CD461"/>
  <c r="CC461"/>
  <c r="CB461"/>
  <c r="CA461"/>
  <c r="BZ461"/>
  <c r="BY461"/>
  <c r="BX461"/>
  <c r="BW461"/>
  <c r="BV461"/>
  <c r="BU461"/>
  <c r="BT461"/>
  <c r="BS461"/>
  <c r="BR461"/>
  <c r="BQ461"/>
  <c r="BP461"/>
  <c r="BO461"/>
  <c r="BN461"/>
  <c r="BM461"/>
  <c r="BL461"/>
  <c r="BK461"/>
  <c r="BJ461"/>
  <c r="BI461"/>
  <c r="BH461"/>
  <c r="BG461"/>
  <c r="BF461"/>
  <c r="BE461"/>
  <c r="BD461"/>
  <c r="BC461"/>
  <c r="BB461"/>
  <c r="BA461"/>
  <c r="AZ461"/>
  <c r="AY461"/>
  <c r="AX461"/>
  <c r="AW461"/>
  <c r="AV461"/>
  <c r="AU461"/>
  <c r="AT461"/>
  <c r="AS461"/>
  <c r="AR461"/>
  <c r="AQ461"/>
  <c r="AP461"/>
  <c r="AO461"/>
  <c r="AN461"/>
  <c r="AM461"/>
  <c r="AL461"/>
  <c r="AK461"/>
  <c r="AJ461"/>
  <c r="AI461"/>
  <c r="AH461"/>
  <c r="AG461"/>
  <c r="AF461"/>
  <c r="AE461"/>
  <c r="AD461"/>
  <c r="AC461"/>
  <c r="AB461"/>
  <c r="AA461"/>
  <c r="Z461"/>
  <c r="Y461"/>
  <c r="X461"/>
  <c r="W461"/>
  <c r="V461"/>
  <c r="U461"/>
  <c r="T461"/>
  <c r="S461"/>
  <c r="R461"/>
  <c r="Q461"/>
  <c r="P461"/>
  <c r="O461"/>
  <c r="N461"/>
  <c r="M461"/>
  <c r="L461"/>
  <c r="K461"/>
  <c r="J461"/>
  <c r="I461"/>
  <c r="H461"/>
  <c r="G461"/>
  <c r="F461"/>
  <c r="E461"/>
  <c r="D461"/>
  <c r="C461"/>
  <c r="B461"/>
  <c r="A461"/>
  <c r="CJ460"/>
  <c r="CI460"/>
  <c r="CH460"/>
  <c r="CG460"/>
  <c r="CF460"/>
  <c r="CE460"/>
  <c r="CD460"/>
  <c r="CC460"/>
  <c r="CB460"/>
  <c r="CA460"/>
  <c r="BZ460"/>
  <c r="BY460"/>
  <c r="BX460"/>
  <c r="BW460"/>
  <c r="BV460"/>
  <c r="BU460"/>
  <c r="BT460"/>
  <c r="BS460"/>
  <c r="BR460"/>
  <c r="BQ460"/>
  <c r="BP460"/>
  <c r="BO460"/>
  <c r="BN460"/>
  <c r="BM460"/>
  <c r="BL460"/>
  <c r="BK460"/>
  <c r="BJ460"/>
  <c r="BI460"/>
  <c r="BH460"/>
  <c r="BG460"/>
  <c r="BF460"/>
  <c r="BE460"/>
  <c r="BD460"/>
  <c r="BC460"/>
  <c r="BB460"/>
  <c r="BA460"/>
  <c r="AZ460"/>
  <c r="AY460"/>
  <c r="AX460"/>
  <c r="AW460"/>
  <c r="AV460"/>
  <c r="AU460"/>
  <c r="AT460"/>
  <c r="AS460"/>
  <c r="AR460"/>
  <c r="AQ460"/>
  <c r="AP460"/>
  <c r="AO460"/>
  <c r="AN460"/>
  <c r="AM460"/>
  <c r="AL460"/>
  <c r="AK460"/>
  <c r="AJ460"/>
  <c r="AI460"/>
  <c r="AH460"/>
  <c r="AG460"/>
  <c r="AF460"/>
  <c r="AE460"/>
  <c r="AD460"/>
  <c r="AC460"/>
  <c r="AB460"/>
  <c r="AA460"/>
  <c r="Z460"/>
  <c r="Y460"/>
  <c r="X460"/>
  <c r="W460"/>
  <c r="V460"/>
  <c r="U460"/>
  <c r="T460"/>
  <c r="S460"/>
  <c r="R460"/>
  <c r="Q460"/>
  <c r="P460"/>
  <c r="O460"/>
  <c r="N460"/>
  <c r="M460"/>
  <c r="L460"/>
  <c r="K460"/>
  <c r="J460"/>
  <c r="I460"/>
  <c r="H460"/>
  <c r="G460"/>
  <c r="F460"/>
  <c r="E460"/>
  <c r="D460"/>
  <c r="C460"/>
  <c r="B460"/>
  <c r="A460"/>
  <c r="CJ459"/>
  <c r="CI459"/>
  <c r="CH459"/>
  <c r="CG459"/>
  <c r="CF459"/>
  <c r="CE459"/>
  <c r="CD459"/>
  <c r="CC459"/>
  <c r="CB459"/>
  <c r="CA459"/>
  <c r="BZ459"/>
  <c r="BY459"/>
  <c r="BX459"/>
  <c r="BW459"/>
  <c r="BV459"/>
  <c r="BU459"/>
  <c r="BT459"/>
  <c r="BS459"/>
  <c r="BR459"/>
  <c r="BQ459"/>
  <c r="BP459"/>
  <c r="BO459"/>
  <c r="BN459"/>
  <c r="BM459"/>
  <c r="BL459"/>
  <c r="BK459"/>
  <c r="BJ459"/>
  <c r="BI459"/>
  <c r="BH459"/>
  <c r="BG459"/>
  <c r="BF459"/>
  <c r="BE459"/>
  <c r="BD459"/>
  <c r="BC459"/>
  <c r="BB459"/>
  <c r="BA459"/>
  <c r="AZ459"/>
  <c r="AY459"/>
  <c r="AX459"/>
  <c r="AW459"/>
  <c r="AV459"/>
  <c r="AU459"/>
  <c r="AT459"/>
  <c r="AS459"/>
  <c r="AR459"/>
  <c r="AQ459"/>
  <c r="AP459"/>
  <c r="AO459"/>
  <c r="AN459"/>
  <c r="AM459"/>
  <c r="AL459"/>
  <c r="AK459"/>
  <c r="AJ459"/>
  <c r="AI459"/>
  <c r="AH459"/>
  <c r="AG459"/>
  <c r="AF459"/>
  <c r="AE459"/>
  <c r="AD459"/>
  <c r="AC459"/>
  <c r="AB459"/>
  <c r="AA459"/>
  <c r="Z459"/>
  <c r="Y459"/>
  <c r="X459"/>
  <c r="W459"/>
  <c r="V459"/>
  <c r="U459"/>
  <c r="T459"/>
  <c r="S459"/>
  <c r="R459"/>
  <c r="Q459"/>
  <c r="P459"/>
  <c r="O459"/>
  <c r="N459"/>
  <c r="M459"/>
  <c r="L459"/>
  <c r="K459"/>
  <c r="J459"/>
  <c r="I459"/>
  <c r="H459"/>
  <c r="G459"/>
  <c r="F459"/>
  <c r="E459"/>
  <c r="D459"/>
  <c r="C459"/>
  <c r="B459"/>
  <c r="A459"/>
  <c r="CJ458"/>
  <c r="CI458"/>
  <c r="CH458"/>
  <c r="CG458"/>
  <c r="CF458"/>
  <c r="CE458"/>
  <c r="CD458"/>
  <c r="CC458"/>
  <c r="CB458"/>
  <c r="CA458"/>
  <c r="BZ458"/>
  <c r="BY458"/>
  <c r="BX458"/>
  <c r="BW458"/>
  <c r="BV458"/>
  <c r="BU458"/>
  <c r="BT458"/>
  <c r="BS458"/>
  <c r="BR458"/>
  <c r="BQ458"/>
  <c r="BP458"/>
  <c r="BO458"/>
  <c r="BN458"/>
  <c r="BM458"/>
  <c r="BL458"/>
  <c r="BK458"/>
  <c r="BJ458"/>
  <c r="BI458"/>
  <c r="BH458"/>
  <c r="BG458"/>
  <c r="BF458"/>
  <c r="BE458"/>
  <c r="BD458"/>
  <c r="BC458"/>
  <c r="BB458"/>
  <c r="BA458"/>
  <c r="AZ458"/>
  <c r="AY458"/>
  <c r="AX458"/>
  <c r="AW458"/>
  <c r="AV458"/>
  <c r="AU458"/>
  <c r="AT458"/>
  <c r="AS458"/>
  <c r="AR458"/>
  <c r="AQ458"/>
  <c r="AP458"/>
  <c r="AO458"/>
  <c r="AN458"/>
  <c r="AM458"/>
  <c r="AL458"/>
  <c r="AK458"/>
  <c r="AJ458"/>
  <c r="AI458"/>
  <c r="AH458"/>
  <c r="AG458"/>
  <c r="AF458"/>
  <c r="AE458"/>
  <c r="AD458"/>
  <c r="AC458"/>
  <c r="AB458"/>
  <c r="AA458"/>
  <c r="Z458"/>
  <c r="Y458"/>
  <c r="X458"/>
  <c r="W458"/>
  <c r="V458"/>
  <c r="U458"/>
  <c r="T458"/>
  <c r="S458"/>
  <c r="R458"/>
  <c r="Q458"/>
  <c r="P458"/>
  <c r="O458"/>
  <c r="N458"/>
  <c r="M458"/>
  <c r="L458"/>
  <c r="K458"/>
  <c r="J458"/>
  <c r="I458"/>
  <c r="H458"/>
  <c r="G458"/>
  <c r="F458"/>
  <c r="E458"/>
  <c r="D458"/>
  <c r="C458"/>
  <c r="B458"/>
  <c r="A458"/>
  <c r="CJ457"/>
  <c r="CI457"/>
  <c r="CH457"/>
  <c r="CG457"/>
  <c r="CF457"/>
  <c r="CE457"/>
  <c r="CD457"/>
  <c r="CC457"/>
  <c r="CB457"/>
  <c r="CA457"/>
  <c r="BZ457"/>
  <c r="BY457"/>
  <c r="BX457"/>
  <c r="BW457"/>
  <c r="BV457"/>
  <c r="BU457"/>
  <c r="BT457"/>
  <c r="BS457"/>
  <c r="BR457"/>
  <c r="BQ457"/>
  <c r="BP457"/>
  <c r="BO457"/>
  <c r="BN457"/>
  <c r="BM457"/>
  <c r="BL457"/>
  <c r="BK457"/>
  <c r="BJ457"/>
  <c r="BI457"/>
  <c r="BH457"/>
  <c r="BG457"/>
  <c r="BF457"/>
  <c r="BE457"/>
  <c r="BD457"/>
  <c r="BC457"/>
  <c r="BB457"/>
  <c r="BA457"/>
  <c r="AZ457"/>
  <c r="AY457"/>
  <c r="AX457"/>
  <c r="AW457"/>
  <c r="AV457"/>
  <c r="AU457"/>
  <c r="AT457"/>
  <c r="AS457"/>
  <c r="AR457"/>
  <c r="AQ457"/>
  <c r="AP457"/>
  <c r="AO457"/>
  <c r="AN457"/>
  <c r="AM457"/>
  <c r="AL457"/>
  <c r="AK457"/>
  <c r="AJ457"/>
  <c r="AI457"/>
  <c r="AH457"/>
  <c r="AG457"/>
  <c r="AF457"/>
  <c r="AE457"/>
  <c r="AD457"/>
  <c r="AC457"/>
  <c r="AB457"/>
  <c r="AA457"/>
  <c r="Z457"/>
  <c r="Y457"/>
  <c r="X457"/>
  <c r="W457"/>
  <c r="V457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D457"/>
  <c r="C457"/>
  <c r="B457"/>
  <c r="A457"/>
  <c r="CJ456"/>
  <c r="CI456"/>
  <c r="CH456"/>
  <c r="CG456"/>
  <c r="CF456"/>
  <c r="CE456"/>
  <c r="CD456"/>
  <c r="CC456"/>
  <c r="CB456"/>
  <c r="CA456"/>
  <c r="BZ456"/>
  <c r="BY456"/>
  <c r="BX456"/>
  <c r="BW456"/>
  <c r="BV456"/>
  <c r="BU456"/>
  <c r="BT456"/>
  <c r="BS456"/>
  <c r="BR456"/>
  <c r="BQ456"/>
  <c r="BP456"/>
  <c r="BO456"/>
  <c r="BN456"/>
  <c r="BM456"/>
  <c r="BL456"/>
  <c r="BK456"/>
  <c r="BJ456"/>
  <c r="BI456"/>
  <c r="BH456"/>
  <c r="BG456"/>
  <c r="BF456"/>
  <c r="BE456"/>
  <c r="BD456"/>
  <c r="BC456"/>
  <c r="BB456"/>
  <c r="BA456"/>
  <c r="AZ456"/>
  <c r="AY456"/>
  <c r="AX456"/>
  <c r="AW456"/>
  <c r="AV456"/>
  <c r="AU456"/>
  <c r="AT456"/>
  <c r="AS456"/>
  <c r="AR456"/>
  <c r="AQ456"/>
  <c r="AP456"/>
  <c r="AO456"/>
  <c r="AN456"/>
  <c r="AM456"/>
  <c r="AL456"/>
  <c r="AK456"/>
  <c r="AJ456"/>
  <c r="AI456"/>
  <c r="AH456"/>
  <c r="AG456"/>
  <c r="AF456"/>
  <c r="AE456"/>
  <c r="AD456"/>
  <c r="AC456"/>
  <c r="AB456"/>
  <c r="AA456"/>
  <c r="Z456"/>
  <c r="Y456"/>
  <c r="X456"/>
  <c r="W456"/>
  <c r="V456"/>
  <c r="U456"/>
  <c r="T456"/>
  <c r="S456"/>
  <c r="R456"/>
  <c r="Q456"/>
  <c r="P456"/>
  <c r="O456"/>
  <c r="N456"/>
  <c r="M456"/>
  <c r="L456"/>
  <c r="K456"/>
  <c r="J456"/>
  <c r="I456"/>
  <c r="H456"/>
  <c r="G456"/>
  <c r="F456"/>
  <c r="E456"/>
  <c r="D456"/>
  <c r="C456"/>
  <c r="B456"/>
  <c r="A456"/>
  <c r="CJ455"/>
  <c r="CI455"/>
  <c r="CH455"/>
  <c r="CG455"/>
  <c r="CF455"/>
  <c r="CE455"/>
  <c r="CD455"/>
  <c r="CC455"/>
  <c r="CB455"/>
  <c r="CA455"/>
  <c r="BZ455"/>
  <c r="BY455"/>
  <c r="BX455"/>
  <c r="BW455"/>
  <c r="BV455"/>
  <c r="BU455"/>
  <c r="BT455"/>
  <c r="BS455"/>
  <c r="BR455"/>
  <c r="BQ455"/>
  <c r="BP455"/>
  <c r="BO455"/>
  <c r="BN455"/>
  <c r="BM455"/>
  <c r="BL455"/>
  <c r="BK455"/>
  <c r="BJ455"/>
  <c r="BI455"/>
  <c r="BH455"/>
  <c r="BG455"/>
  <c r="BF455"/>
  <c r="BE455"/>
  <c r="BD455"/>
  <c r="BC455"/>
  <c r="BB455"/>
  <c r="BA455"/>
  <c r="AZ455"/>
  <c r="AY455"/>
  <c r="AX455"/>
  <c r="AW455"/>
  <c r="AV455"/>
  <c r="AU455"/>
  <c r="AT455"/>
  <c r="AS455"/>
  <c r="AR455"/>
  <c r="AQ455"/>
  <c r="AP455"/>
  <c r="AO455"/>
  <c r="AN455"/>
  <c r="AM455"/>
  <c r="AL455"/>
  <c r="AK455"/>
  <c r="AJ455"/>
  <c r="AI455"/>
  <c r="AH455"/>
  <c r="AG455"/>
  <c r="AF455"/>
  <c r="AE455"/>
  <c r="AD455"/>
  <c r="AC455"/>
  <c r="AB455"/>
  <c r="AA455"/>
  <c r="Z455"/>
  <c r="Y455"/>
  <c r="X455"/>
  <c r="W455"/>
  <c r="V455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D455"/>
  <c r="C455"/>
  <c r="B455"/>
  <c r="A455"/>
  <c r="CJ454"/>
  <c r="CI454"/>
  <c r="CH454"/>
  <c r="CG454"/>
  <c r="CF454"/>
  <c r="CE454"/>
  <c r="CD454"/>
  <c r="CC454"/>
  <c r="CB454"/>
  <c r="CA454"/>
  <c r="BZ454"/>
  <c r="BY454"/>
  <c r="BX454"/>
  <c r="BW454"/>
  <c r="BV454"/>
  <c r="BU454"/>
  <c r="BT454"/>
  <c r="BS454"/>
  <c r="BR454"/>
  <c r="BQ454"/>
  <c r="BP454"/>
  <c r="BO454"/>
  <c r="BN454"/>
  <c r="BM454"/>
  <c r="BL454"/>
  <c r="BK454"/>
  <c r="BJ454"/>
  <c r="BI454"/>
  <c r="BH454"/>
  <c r="BG454"/>
  <c r="BF454"/>
  <c r="BE454"/>
  <c r="BD454"/>
  <c r="BC454"/>
  <c r="BB454"/>
  <c r="BA454"/>
  <c r="AZ454"/>
  <c r="AY454"/>
  <c r="AX454"/>
  <c r="AW454"/>
  <c r="AV454"/>
  <c r="AU454"/>
  <c r="AT454"/>
  <c r="AS454"/>
  <c r="AR454"/>
  <c r="AQ454"/>
  <c r="AP454"/>
  <c r="AO454"/>
  <c r="AN454"/>
  <c r="AM454"/>
  <c r="AL454"/>
  <c r="AK454"/>
  <c r="AJ454"/>
  <c r="AI454"/>
  <c r="AH454"/>
  <c r="AG454"/>
  <c r="AF454"/>
  <c r="AE454"/>
  <c r="AD454"/>
  <c r="AC454"/>
  <c r="AB454"/>
  <c r="AA454"/>
  <c r="Z454"/>
  <c r="Y454"/>
  <c r="X454"/>
  <c r="W454"/>
  <c r="V454"/>
  <c r="U454"/>
  <c r="T454"/>
  <c r="S454"/>
  <c r="R454"/>
  <c r="Q454"/>
  <c r="P454"/>
  <c r="O454"/>
  <c r="N454"/>
  <c r="M454"/>
  <c r="L454"/>
  <c r="K454"/>
  <c r="J454"/>
  <c r="I454"/>
  <c r="H454"/>
  <c r="G454"/>
  <c r="F454"/>
  <c r="E454"/>
  <c r="D454"/>
  <c r="C454"/>
  <c r="B454"/>
  <c r="A454"/>
  <c r="CJ453"/>
  <c r="CI453"/>
  <c r="CH453"/>
  <c r="CG453"/>
  <c r="CF453"/>
  <c r="CE453"/>
  <c r="CD453"/>
  <c r="CC453"/>
  <c r="CB453"/>
  <c r="CA453"/>
  <c r="BZ453"/>
  <c r="BY453"/>
  <c r="BX453"/>
  <c r="BW453"/>
  <c r="BV453"/>
  <c r="BU453"/>
  <c r="BT453"/>
  <c r="BS453"/>
  <c r="BR453"/>
  <c r="BQ453"/>
  <c r="BP453"/>
  <c r="BO453"/>
  <c r="BN453"/>
  <c r="BM453"/>
  <c r="BL453"/>
  <c r="BK453"/>
  <c r="BJ453"/>
  <c r="BI453"/>
  <c r="BH453"/>
  <c r="BG453"/>
  <c r="BF453"/>
  <c r="BE453"/>
  <c r="BD453"/>
  <c r="BC453"/>
  <c r="BB453"/>
  <c r="BA453"/>
  <c r="AZ453"/>
  <c r="AY453"/>
  <c r="AX453"/>
  <c r="AW453"/>
  <c r="AV453"/>
  <c r="AU453"/>
  <c r="AT453"/>
  <c r="AS453"/>
  <c r="AR453"/>
  <c r="AQ453"/>
  <c r="AP453"/>
  <c r="AO453"/>
  <c r="AN453"/>
  <c r="AM453"/>
  <c r="AL453"/>
  <c r="AK453"/>
  <c r="AJ453"/>
  <c r="AI453"/>
  <c r="AH453"/>
  <c r="AG453"/>
  <c r="AF453"/>
  <c r="AE453"/>
  <c r="AD453"/>
  <c r="AC453"/>
  <c r="AB453"/>
  <c r="AA453"/>
  <c r="Z453"/>
  <c r="Y453"/>
  <c r="X453"/>
  <c r="W453"/>
  <c r="V453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D453"/>
  <c r="C453"/>
  <c r="B453"/>
  <c r="A453"/>
  <c r="CJ452"/>
  <c r="CI452"/>
  <c r="CH452"/>
  <c r="CG452"/>
  <c r="CF452"/>
  <c r="CE452"/>
  <c r="CD452"/>
  <c r="CC452"/>
  <c r="CB452"/>
  <c r="CA452"/>
  <c r="BZ452"/>
  <c r="BY452"/>
  <c r="BX452"/>
  <c r="BW452"/>
  <c r="BV452"/>
  <c r="BU452"/>
  <c r="BT452"/>
  <c r="BS452"/>
  <c r="BR452"/>
  <c r="BQ452"/>
  <c r="BP452"/>
  <c r="BO452"/>
  <c r="BN452"/>
  <c r="BM452"/>
  <c r="BL452"/>
  <c r="BK452"/>
  <c r="BJ452"/>
  <c r="BI452"/>
  <c r="BH452"/>
  <c r="BG452"/>
  <c r="BF452"/>
  <c r="BE452"/>
  <c r="BD452"/>
  <c r="BC452"/>
  <c r="BB452"/>
  <c r="BA452"/>
  <c r="AZ452"/>
  <c r="AY452"/>
  <c r="AX452"/>
  <c r="AW452"/>
  <c r="AV452"/>
  <c r="AU452"/>
  <c r="AT452"/>
  <c r="AS452"/>
  <c r="AR452"/>
  <c r="AQ452"/>
  <c r="AP452"/>
  <c r="AO452"/>
  <c r="AN452"/>
  <c r="AM452"/>
  <c r="AL452"/>
  <c r="AK452"/>
  <c r="AJ452"/>
  <c r="AI452"/>
  <c r="AH452"/>
  <c r="AG452"/>
  <c r="AF452"/>
  <c r="AE452"/>
  <c r="AD452"/>
  <c r="AC452"/>
  <c r="AB452"/>
  <c r="AA452"/>
  <c r="Z452"/>
  <c r="Y452"/>
  <c r="X452"/>
  <c r="W452"/>
  <c r="V452"/>
  <c r="U452"/>
  <c r="T452"/>
  <c r="S452"/>
  <c r="R452"/>
  <c r="Q452"/>
  <c r="P452"/>
  <c r="O452"/>
  <c r="N452"/>
  <c r="M452"/>
  <c r="L452"/>
  <c r="K452"/>
  <c r="J452"/>
  <c r="I452"/>
  <c r="H452"/>
  <c r="G452"/>
  <c r="F452"/>
  <c r="E452"/>
  <c r="D452"/>
  <c r="C452"/>
  <c r="B452"/>
  <c r="A452"/>
  <c r="CJ451"/>
  <c r="CI451"/>
  <c r="CH451"/>
  <c r="CG451"/>
  <c r="CF451"/>
  <c r="CE451"/>
  <c r="CD451"/>
  <c r="CC451"/>
  <c r="CB451"/>
  <c r="CA451"/>
  <c r="BZ451"/>
  <c r="BY451"/>
  <c r="BX451"/>
  <c r="BW451"/>
  <c r="BV451"/>
  <c r="BU451"/>
  <c r="BT451"/>
  <c r="BS451"/>
  <c r="BR451"/>
  <c r="BQ451"/>
  <c r="BP451"/>
  <c r="BO451"/>
  <c r="BN451"/>
  <c r="BM451"/>
  <c r="BL451"/>
  <c r="BK451"/>
  <c r="BJ451"/>
  <c r="BI451"/>
  <c r="BH451"/>
  <c r="BG451"/>
  <c r="BF451"/>
  <c r="BE451"/>
  <c r="BD451"/>
  <c r="BC451"/>
  <c r="BB451"/>
  <c r="BA451"/>
  <c r="AZ451"/>
  <c r="AY451"/>
  <c r="AX451"/>
  <c r="AW451"/>
  <c r="AV451"/>
  <c r="AU451"/>
  <c r="AT451"/>
  <c r="AS451"/>
  <c r="AR451"/>
  <c r="AQ451"/>
  <c r="AP451"/>
  <c r="AO451"/>
  <c r="AN451"/>
  <c r="AM451"/>
  <c r="AL451"/>
  <c r="AK451"/>
  <c r="AJ451"/>
  <c r="AI451"/>
  <c r="AH451"/>
  <c r="AG451"/>
  <c r="AF451"/>
  <c r="AE451"/>
  <c r="AD451"/>
  <c r="AC451"/>
  <c r="AB451"/>
  <c r="AA451"/>
  <c r="Z451"/>
  <c r="Y451"/>
  <c r="X451"/>
  <c r="W451"/>
  <c r="V451"/>
  <c r="U451"/>
  <c r="T451"/>
  <c r="S451"/>
  <c r="R451"/>
  <c r="Q451"/>
  <c r="P451"/>
  <c r="O451"/>
  <c r="N451"/>
  <c r="M451"/>
  <c r="L451"/>
  <c r="K451"/>
  <c r="J451"/>
  <c r="I451"/>
  <c r="H451"/>
  <c r="G451"/>
  <c r="F451"/>
  <c r="E451"/>
  <c r="D451"/>
  <c r="C451"/>
  <c r="B451"/>
  <c r="A451"/>
  <c r="CJ450"/>
  <c r="CI450"/>
  <c r="CH450"/>
  <c r="CG450"/>
  <c r="CF450"/>
  <c r="CE450"/>
  <c r="CD450"/>
  <c r="CC450"/>
  <c r="CB450"/>
  <c r="CA450"/>
  <c r="BZ450"/>
  <c r="BY450"/>
  <c r="BX450"/>
  <c r="BW450"/>
  <c r="BV450"/>
  <c r="BU450"/>
  <c r="BT450"/>
  <c r="BS450"/>
  <c r="BR450"/>
  <c r="BQ450"/>
  <c r="BP450"/>
  <c r="BO450"/>
  <c r="BN450"/>
  <c r="BM450"/>
  <c r="BL450"/>
  <c r="BK450"/>
  <c r="BJ450"/>
  <c r="BI450"/>
  <c r="BH450"/>
  <c r="BG450"/>
  <c r="BF450"/>
  <c r="BE450"/>
  <c r="BD450"/>
  <c r="BC450"/>
  <c r="BB450"/>
  <c r="BA450"/>
  <c r="AZ450"/>
  <c r="AY450"/>
  <c r="AX450"/>
  <c r="AW450"/>
  <c r="AV450"/>
  <c r="AU450"/>
  <c r="AT450"/>
  <c r="AS450"/>
  <c r="AR450"/>
  <c r="AQ450"/>
  <c r="AP450"/>
  <c r="AO450"/>
  <c r="AN450"/>
  <c r="AM450"/>
  <c r="AL450"/>
  <c r="AK450"/>
  <c r="AJ450"/>
  <c r="AI450"/>
  <c r="AH450"/>
  <c r="AG450"/>
  <c r="AF450"/>
  <c r="AE450"/>
  <c r="AD450"/>
  <c r="AC450"/>
  <c r="AB450"/>
  <c r="AA450"/>
  <c r="Z450"/>
  <c r="Y450"/>
  <c r="X450"/>
  <c r="W450"/>
  <c r="V450"/>
  <c r="U450"/>
  <c r="T450"/>
  <c r="S450"/>
  <c r="R450"/>
  <c r="Q450"/>
  <c r="P450"/>
  <c r="O450"/>
  <c r="N450"/>
  <c r="M450"/>
  <c r="L450"/>
  <c r="K450"/>
  <c r="J450"/>
  <c r="I450"/>
  <c r="H450"/>
  <c r="G450"/>
  <c r="F450"/>
  <c r="E450"/>
  <c r="D450"/>
  <c r="C450"/>
  <c r="B450"/>
  <c r="A450"/>
  <c r="CJ449"/>
  <c r="CI449"/>
  <c r="CH449"/>
  <c r="CG449"/>
  <c r="CF449"/>
  <c r="CE449"/>
  <c r="CD449"/>
  <c r="CC449"/>
  <c r="CB449"/>
  <c r="CA449"/>
  <c r="BZ449"/>
  <c r="BY449"/>
  <c r="BX449"/>
  <c r="BW449"/>
  <c r="BV449"/>
  <c r="BU449"/>
  <c r="BT449"/>
  <c r="BS449"/>
  <c r="BR449"/>
  <c r="BQ449"/>
  <c r="BP449"/>
  <c r="BO449"/>
  <c r="BN449"/>
  <c r="BM449"/>
  <c r="BL449"/>
  <c r="BK449"/>
  <c r="BJ449"/>
  <c r="BI449"/>
  <c r="BH449"/>
  <c r="BG449"/>
  <c r="BF449"/>
  <c r="BE449"/>
  <c r="BD449"/>
  <c r="BC449"/>
  <c r="BB449"/>
  <c r="BA449"/>
  <c r="AZ449"/>
  <c r="AY449"/>
  <c r="AX449"/>
  <c r="AW449"/>
  <c r="AV449"/>
  <c r="AU449"/>
  <c r="AT449"/>
  <c r="AS449"/>
  <c r="AR449"/>
  <c r="AQ449"/>
  <c r="AP449"/>
  <c r="AO449"/>
  <c r="AN449"/>
  <c r="AM449"/>
  <c r="AL449"/>
  <c r="AK449"/>
  <c r="AJ449"/>
  <c r="AI449"/>
  <c r="AH449"/>
  <c r="AG449"/>
  <c r="AF449"/>
  <c r="AE449"/>
  <c r="AD449"/>
  <c r="AC449"/>
  <c r="AB449"/>
  <c r="AA449"/>
  <c r="Z449"/>
  <c r="Y449"/>
  <c r="X449"/>
  <c r="W449"/>
  <c r="V449"/>
  <c r="U449"/>
  <c r="T449"/>
  <c r="S449"/>
  <c r="R449"/>
  <c r="Q449"/>
  <c r="P449"/>
  <c r="O449"/>
  <c r="N449"/>
  <c r="M449"/>
  <c r="L449"/>
  <c r="K449"/>
  <c r="J449"/>
  <c r="I449"/>
  <c r="H449"/>
  <c r="G449"/>
  <c r="F449"/>
  <c r="E449"/>
  <c r="D449"/>
  <c r="C449"/>
  <c r="B449"/>
  <c r="A449"/>
  <c r="CJ448"/>
  <c r="CI448"/>
  <c r="CH448"/>
  <c r="CG448"/>
  <c r="CF448"/>
  <c r="CE448"/>
  <c r="CD448"/>
  <c r="CC448"/>
  <c r="CB448"/>
  <c r="CA448"/>
  <c r="BZ448"/>
  <c r="BY448"/>
  <c r="BX448"/>
  <c r="BW448"/>
  <c r="BV448"/>
  <c r="BU448"/>
  <c r="BT448"/>
  <c r="BS448"/>
  <c r="BR448"/>
  <c r="BQ448"/>
  <c r="BP448"/>
  <c r="BO448"/>
  <c r="BN448"/>
  <c r="BM448"/>
  <c r="BL448"/>
  <c r="BK448"/>
  <c r="BJ448"/>
  <c r="BI448"/>
  <c r="BH448"/>
  <c r="BG448"/>
  <c r="BF448"/>
  <c r="BE448"/>
  <c r="BD448"/>
  <c r="BC448"/>
  <c r="BB448"/>
  <c r="BA448"/>
  <c r="AZ448"/>
  <c r="AY448"/>
  <c r="AX448"/>
  <c r="AW448"/>
  <c r="AV448"/>
  <c r="AU448"/>
  <c r="AT448"/>
  <c r="AS448"/>
  <c r="AR448"/>
  <c r="AQ448"/>
  <c r="AP448"/>
  <c r="AO448"/>
  <c r="AN448"/>
  <c r="AM448"/>
  <c r="AL448"/>
  <c r="AK448"/>
  <c r="AJ448"/>
  <c r="AI448"/>
  <c r="AH448"/>
  <c r="AG448"/>
  <c r="AF448"/>
  <c r="AE448"/>
  <c r="AD448"/>
  <c r="AC448"/>
  <c r="AB448"/>
  <c r="AA448"/>
  <c r="Z448"/>
  <c r="Y448"/>
  <c r="X448"/>
  <c r="W448"/>
  <c r="V448"/>
  <c r="U448"/>
  <c r="T448"/>
  <c r="S448"/>
  <c r="R448"/>
  <c r="Q448"/>
  <c r="P448"/>
  <c r="O448"/>
  <c r="N448"/>
  <c r="M448"/>
  <c r="L448"/>
  <c r="K448"/>
  <c r="J448"/>
  <c r="I448"/>
  <c r="H448"/>
  <c r="G448"/>
  <c r="F448"/>
  <c r="E448"/>
  <c r="D448"/>
  <c r="C448"/>
  <c r="B448"/>
  <c r="A448"/>
  <c r="CJ447"/>
  <c r="CI447"/>
  <c r="CH447"/>
  <c r="CG447"/>
  <c r="CF447"/>
  <c r="CE447"/>
  <c r="CD447"/>
  <c r="CC447"/>
  <c r="CB447"/>
  <c r="CA447"/>
  <c r="BZ447"/>
  <c r="BY447"/>
  <c r="BX447"/>
  <c r="BW447"/>
  <c r="BV447"/>
  <c r="BU447"/>
  <c r="BT447"/>
  <c r="BS447"/>
  <c r="BR447"/>
  <c r="BQ447"/>
  <c r="BP447"/>
  <c r="BO447"/>
  <c r="BN447"/>
  <c r="BM447"/>
  <c r="BL447"/>
  <c r="BK447"/>
  <c r="BJ447"/>
  <c r="BI447"/>
  <c r="BH447"/>
  <c r="BG447"/>
  <c r="BF447"/>
  <c r="BE447"/>
  <c r="BD447"/>
  <c r="BC447"/>
  <c r="BB447"/>
  <c r="BA447"/>
  <c r="AZ447"/>
  <c r="AY447"/>
  <c r="AX447"/>
  <c r="AW447"/>
  <c r="AV447"/>
  <c r="AU447"/>
  <c r="AT447"/>
  <c r="AS447"/>
  <c r="AR447"/>
  <c r="AQ447"/>
  <c r="AP447"/>
  <c r="AO447"/>
  <c r="AN447"/>
  <c r="AM447"/>
  <c r="AL447"/>
  <c r="AK447"/>
  <c r="AJ447"/>
  <c r="AI447"/>
  <c r="AH447"/>
  <c r="AG447"/>
  <c r="AF447"/>
  <c r="AE447"/>
  <c r="AD447"/>
  <c r="AC447"/>
  <c r="AB447"/>
  <c r="AA447"/>
  <c r="Z447"/>
  <c r="Y447"/>
  <c r="X447"/>
  <c r="W447"/>
  <c r="V447"/>
  <c r="U447"/>
  <c r="T447"/>
  <c r="S447"/>
  <c r="R447"/>
  <c r="Q447"/>
  <c r="P447"/>
  <c r="O447"/>
  <c r="N447"/>
  <c r="M447"/>
  <c r="L447"/>
  <c r="K447"/>
  <c r="J447"/>
  <c r="I447"/>
  <c r="H447"/>
  <c r="G447"/>
  <c r="F447"/>
  <c r="E447"/>
  <c r="D447"/>
  <c r="C447"/>
  <c r="B447"/>
  <c r="A447"/>
  <c r="CJ446"/>
  <c r="CI446"/>
  <c r="CH446"/>
  <c r="CG446"/>
  <c r="CF446"/>
  <c r="CE446"/>
  <c r="CD446"/>
  <c r="CC446"/>
  <c r="CB446"/>
  <c r="CA446"/>
  <c r="BZ446"/>
  <c r="BY446"/>
  <c r="BX446"/>
  <c r="BW446"/>
  <c r="BV446"/>
  <c r="BU446"/>
  <c r="BT446"/>
  <c r="BS446"/>
  <c r="BR446"/>
  <c r="BQ446"/>
  <c r="BP446"/>
  <c r="BO446"/>
  <c r="BN446"/>
  <c r="BM446"/>
  <c r="BL446"/>
  <c r="BK446"/>
  <c r="BJ446"/>
  <c r="BI446"/>
  <c r="BH446"/>
  <c r="BG446"/>
  <c r="BF446"/>
  <c r="BE446"/>
  <c r="BD446"/>
  <c r="BC446"/>
  <c r="BB446"/>
  <c r="BA446"/>
  <c r="AZ446"/>
  <c r="AY446"/>
  <c r="AX446"/>
  <c r="AW446"/>
  <c r="AV446"/>
  <c r="AU446"/>
  <c r="AT446"/>
  <c r="AS446"/>
  <c r="AR446"/>
  <c r="AQ446"/>
  <c r="AP446"/>
  <c r="AO446"/>
  <c r="AN446"/>
  <c r="AM446"/>
  <c r="AL446"/>
  <c r="AK446"/>
  <c r="AJ446"/>
  <c r="AI446"/>
  <c r="AH446"/>
  <c r="AG446"/>
  <c r="AF446"/>
  <c r="AE446"/>
  <c r="AD446"/>
  <c r="AC446"/>
  <c r="AB446"/>
  <c r="AA446"/>
  <c r="Z446"/>
  <c r="Y446"/>
  <c r="X446"/>
  <c r="W446"/>
  <c r="V446"/>
  <c r="U446"/>
  <c r="T446"/>
  <c r="S446"/>
  <c r="R446"/>
  <c r="Q446"/>
  <c r="P446"/>
  <c r="O446"/>
  <c r="N446"/>
  <c r="M446"/>
  <c r="L446"/>
  <c r="K446"/>
  <c r="J446"/>
  <c r="I446"/>
  <c r="H446"/>
  <c r="G446"/>
  <c r="F446"/>
  <c r="E446"/>
  <c r="D446"/>
  <c r="C446"/>
  <c r="B446"/>
  <c r="A446"/>
  <c r="CJ445"/>
  <c r="CI445"/>
  <c r="CH445"/>
  <c r="CG445"/>
  <c r="CF445"/>
  <c r="CE445"/>
  <c r="CD445"/>
  <c r="CC445"/>
  <c r="CB445"/>
  <c r="CA445"/>
  <c r="BZ445"/>
  <c r="BY445"/>
  <c r="BX445"/>
  <c r="BW445"/>
  <c r="BV445"/>
  <c r="BU445"/>
  <c r="BT445"/>
  <c r="BS445"/>
  <c r="BR445"/>
  <c r="BQ445"/>
  <c r="BP445"/>
  <c r="BO445"/>
  <c r="BN445"/>
  <c r="BM445"/>
  <c r="BL445"/>
  <c r="BK445"/>
  <c r="BJ445"/>
  <c r="BI445"/>
  <c r="BH445"/>
  <c r="BG445"/>
  <c r="BF445"/>
  <c r="BE445"/>
  <c r="BD445"/>
  <c r="BC445"/>
  <c r="BB445"/>
  <c r="BA445"/>
  <c r="AZ445"/>
  <c r="AY445"/>
  <c r="AX445"/>
  <c r="AW445"/>
  <c r="AV445"/>
  <c r="AU445"/>
  <c r="AT445"/>
  <c r="AS445"/>
  <c r="AR445"/>
  <c r="AQ445"/>
  <c r="AP445"/>
  <c r="AO445"/>
  <c r="AN445"/>
  <c r="AM445"/>
  <c r="AL445"/>
  <c r="AK445"/>
  <c r="AJ445"/>
  <c r="AI445"/>
  <c r="AH445"/>
  <c r="AG445"/>
  <c r="AF445"/>
  <c r="AE445"/>
  <c r="AD445"/>
  <c r="AC445"/>
  <c r="AB445"/>
  <c r="AA445"/>
  <c r="Z445"/>
  <c r="Y445"/>
  <c r="X445"/>
  <c r="W445"/>
  <c r="V445"/>
  <c r="U445"/>
  <c r="T445"/>
  <c r="S445"/>
  <c r="R445"/>
  <c r="Q445"/>
  <c r="P445"/>
  <c r="O445"/>
  <c r="N445"/>
  <c r="M445"/>
  <c r="L445"/>
  <c r="K445"/>
  <c r="J445"/>
  <c r="I445"/>
  <c r="H445"/>
  <c r="G445"/>
  <c r="F445"/>
  <c r="E445"/>
  <c r="D445"/>
  <c r="C445"/>
  <c r="B445"/>
  <c r="A445"/>
  <c r="CJ444"/>
  <c r="CI444"/>
  <c r="CH444"/>
  <c r="CG444"/>
  <c r="CF444"/>
  <c r="CE444"/>
  <c r="CD444"/>
  <c r="CC444"/>
  <c r="CB444"/>
  <c r="CA444"/>
  <c r="BZ444"/>
  <c r="BY444"/>
  <c r="BX444"/>
  <c r="BW444"/>
  <c r="BV444"/>
  <c r="BU444"/>
  <c r="BT444"/>
  <c r="BS444"/>
  <c r="BR444"/>
  <c r="BQ444"/>
  <c r="BP444"/>
  <c r="BO444"/>
  <c r="BN444"/>
  <c r="BM444"/>
  <c r="BL444"/>
  <c r="BK444"/>
  <c r="BJ444"/>
  <c r="BI444"/>
  <c r="BH444"/>
  <c r="BG444"/>
  <c r="BF444"/>
  <c r="BE444"/>
  <c r="BD444"/>
  <c r="BC444"/>
  <c r="BB444"/>
  <c r="BA444"/>
  <c r="AZ444"/>
  <c r="AY444"/>
  <c r="AX444"/>
  <c r="AW444"/>
  <c r="AV444"/>
  <c r="AU444"/>
  <c r="AT444"/>
  <c r="AS444"/>
  <c r="AR444"/>
  <c r="AQ444"/>
  <c r="AP444"/>
  <c r="AO444"/>
  <c r="AN444"/>
  <c r="AM444"/>
  <c r="AL444"/>
  <c r="AK444"/>
  <c r="AJ444"/>
  <c r="AI444"/>
  <c r="AH444"/>
  <c r="AG444"/>
  <c r="AF444"/>
  <c r="AE444"/>
  <c r="AD444"/>
  <c r="AC444"/>
  <c r="AB444"/>
  <c r="AA444"/>
  <c r="Z444"/>
  <c r="Y444"/>
  <c r="X444"/>
  <c r="W444"/>
  <c r="V444"/>
  <c r="U444"/>
  <c r="T444"/>
  <c r="S444"/>
  <c r="R444"/>
  <c r="Q444"/>
  <c r="P444"/>
  <c r="O444"/>
  <c r="N444"/>
  <c r="M444"/>
  <c r="L444"/>
  <c r="K444"/>
  <c r="J444"/>
  <c r="I444"/>
  <c r="H444"/>
  <c r="G444"/>
  <c r="F444"/>
  <c r="E444"/>
  <c r="D444"/>
  <c r="C444"/>
  <c r="B444"/>
  <c r="A444"/>
  <c r="CJ443"/>
  <c r="CI443"/>
  <c r="CH443"/>
  <c r="CG443"/>
  <c r="CF443"/>
  <c r="CE443"/>
  <c r="CD443"/>
  <c r="CC443"/>
  <c r="CB443"/>
  <c r="CA443"/>
  <c r="BZ443"/>
  <c r="BY443"/>
  <c r="BX443"/>
  <c r="BW443"/>
  <c r="BV443"/>
  <c r="BU443"/>
  <c r="BT443"/>
  <c r="BS443"/>
  <c r="BR443"/>
  <c r="BQ443"/>
  <c r="BP443"/>
  <c r="BO443"/>
  <c r="BN443"/>
  <c r="BM443"/>
  <c r="BL443"/>
  <c r="BK443"/>
  <c r="BJ443"/>
  <c r="BI443"/>
  <c r="BH443"/>
  <c r="BG443"/>
  <c r="BF443"/>
  <c r="BE443"/>
  <c r="BD443"/>
  <c r="BC443"/>
  <c r="BB443"/>
  <c r="BA443"/>
  <c r="AZ443"/>
  <c r="AY443"/>
  <c r="AX443"/>
  <c r="AW443"/>
  <c r="AV443"/>
  <c r="AU443"/>
  <c r="AT443"/>
  <c r="AS443"/>
  <c r="AR443"/>
  <c r="AQ443"/>
  <c r="AP443"/>
  <c r="AO443"/>
  <c r="AN443"/>
  <c r="AM443"/>
  <c r="AL443"/>
  <c r="AK443"/>
  <c r="AJ443"/>
  <c r="AI443"/>
  <c r="AH443"/>
  <c r="AG443"/>
  <c r="AF443"/>
  <c r="AE443"/>
  <c r="AD443"/>
  <c r="AC443"/>
  <c r="AB443"/>
  <c r="AA443"/>
  <c r="Z443"/>
  <c r="Y443"/>
  <c r="X443"/>
  <c r="W443"/>
  <c r="V443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D443"/>
  <c r="C443"/>
  <c r="B443"/>
  <c r="A443"/>
  <c r="CJ442"/>
  <c r="CI442"/>
  <c r="CH442"/>
  <c r="CG442"/>
  <c r="CF442"/>
  <c r="CE442"/>
  <c r="CD442"/>
  <c r="CC442"/>
  <c r="CB442"/>
  <c r="CA442"/>
  <c r="BZ442"/>
  <c r="BY442"/>
  <c r="BX442"/>
  <c r="BW442"/>
  <c r="BV442"/>
  <c r="BU442"/>
  <c r="BT442"/>
  <c r="BS442"/>
  <c r="BR442"/>
  <c r="BQ442"/>
  <c r="BP442"/>
  <c r="BO442"/>
  <c r="BN442"/>
  <c r="BM442"/>
  <c r="BL442"/>
  <c r="BK442"/>
  <c r="BJ442"/>
  <c r="BI442"/>
  <c r="BH442"/>
  <c r="BG442"/>
  <c r="BF442"/>
  <c r="BE442"/>
  <c r="BD442"/>
  <c r="BC442"/>
  <c r="BB442"/>
  <c r="BA442"/>
  <c r="AZ442"/>
  <c r="AY442"/>
  <c r="AX442"/>
  <c r="AW442"/>
  <c r="AV442"/>
  <c r="AU442"/>
  <c r="AT442"/>
  <c r="AS442"/>
  <c r="AR442"/>
  <c r="AQ442"/>
  <c r="AP442"/>
  <c r="AO442"/>
  <c r="AN442"/>
  <c r="AM442"/>
  <c r="AL442"/>
  <c r="AK442"/>
  <c r="AJ442"/>
  <c r="AI442"/>
  <c r="AH442"/>
  <c r="AG442"/>
  <c r="AF442"/>
  <c r="AE442"/>
  <c r="AD442"/>
  <c r="AC442"/>
  <c r="AB442"/>
  <c r="AA442"/>
  <c r="Z442"/>
  <c r="Y442"/>
  <c r="X442"/>
  <c r="W442"/>
  <c r="V442"/>
  <c r="U442"/>
  <c r="T442"/>
  <c r="S442"/>
  <c r="R442"/>
  <c r="Q442"/>
  <c r="P442"/>
  <c r="O442"/>
  <c r="N442"/>
  <c r="M442"/>
  <c r="L442"/>
  <c r="K442"/>
  <c r="J442"/>
  <c r="I442"/>
  <c r="H442"/>
  <c r="G442"/>
  <c r="F442"/>
  <c r="E442"/>
  <c r="D442"/>
  <c r="C442"/>
  <c r="B442"/>
  <c r="A442"/>
  <c r="CJ441"/>
  <c r="CI441"/>
  <c r="CH441"/>
  <c r="CG441"/>
  <c r="CF441"/>
  <c r="CE441"/>
  <c r="CD441"/>
  <c r="CC441"/>
  <c r="CB441"/>
  <c r="CA441"/>
  <c r="BZ441"/>
  <c r="BY441"/>
  <c r="BX441"/>
  <c r="BW441"/>
  <c r="BV441"/>
  <c r="BU441"/>
  <c r="BT441"/>
  <c r="BS441"/>
  <c r="BR441"/>
  <c r="BQ441"/>
  <c r="BP441"/>
  <c r="BO441"/>
  <c r="BN441"/>
  <c r="BM441"/>
  <c r="BL441"/>
  <c r="BK441"/>
  <c r="BJ441"/>
  <c r="BI441"/>
  <c r="BH441"/>
  <c r="BG441"/>
  <c r="BF441"/>
  <c r="BE441"/>
  <c r="BD441"/>
  <c r="BC441"/>
  <c r="BB441"/>
  <c r="BA441"/>
  <c r="AZ441"/>
  <c r="AY441"/>
  <c r="AX441"/>
  <c r="AW441"/>
  <c r="AV441"/>
  <c r="AU441"/>
  <c r="AT441"/>
  <c r="AS441"/>
  <c r="AR441"/>
  <c r="AQ441"/>
  <c r="AP441"/>
  <c r="AO441"/>
  <c r="AN441"/>
  <c r="AM441"/>
  <c r="AL441"/>
  <c r="AK441"/>
  <c r="AJ441"/>
  <c r="AI441"/>
  <c r="AH441"/>
  <c r="AG441"/>
  <c r="AF441"/>
  <c r="AE441"/>
  <c r="AD441"/>
  <c r="AC441"/>
  <c r="AB441"/>
  <c r="AA441"/>
  <c r="Z441"/>
  <c r="Y441"/>
  <c r="X441"/>
  <c r="W441"/>
  <c r="V441"/>
  <c r="U441"/>
  <c r="T441"/>
  <c r="S441"/>
  <c r="R441"/>
  <c r="Q441"/>
  <c r="P441"/>
  <c r="O441"/>
  <c r="N441"/>
  <c r="M441"/>
  <c r="L441"/>
  <c r="K441"/>
  <c r="J441"/>
  <c r="I441"/>
  <c r="H441"/>
  <c r="G441"/>
  <c r="F441"/>
  <c r="E441"/>
  <c r="D441"/>
  <c r="C441"/>
  <c r="B441"/>
  <c r="A441"/>
  <c r="CJ440"/>
  <c r="CI440"/>
  <c r="CH440"/>
  <c r="CG440"/>
  <c r="CF440"/>
  <c r="CE440"/>
  <c r="CD440"/>
  <c r="CC440"/>
  <c r="CB440"/>
  <c r="CA440"/>
  <c r="BZ440"/>
  <c r="BY440"/>
  <c r="BX440"/>
  <c r="BW440"/>
  <c r="BV440"/>
  <c r="BU440"/>
  <c r="BT440"/>
  <c r="BS440"/>
  <c r="BR440"/>
  <c r="BQ440"/>
  <c r="BP440"/>
  <c r="BO440"/>
  <c r="BN440"/>
  <c r="BM440"/>
  <c r="BL440"/>
  <c r="BK440"/>
  <c r="BJ440"/>
  <c r="BI440"/>
  <c r="BH440"/>
  <c r="BG440"/>
  <c r="BF440"/>
  <c r="BE440"/>
  <c r="BD440"/>
  <c r="BC440"/>
  <c r="BB440"/>
  <c r="BA440"/>
  <c r="AZ440"/>
  <c r="AY440"/>
  <c r="AX440"/>
  <c r="AW440"/>
  <c r="AV440"/>
  <c r="AU440"/>
  <c r="AT440"/>
  <c r="AS440"/>
  <c r="AR440"/>
  <c r="AQ440"/>
  <c r="AP440"/>
  <c r="AO440"/>
  <c r="AN440"/>
  <c r="AM440"/>
  <c r="AL440"/>
  <c r="AK440"/>
  <c r="AJ440"/>
  <c r="AI440"/>
  <c r="AH440"/>
  <c r="AG440"/>
  <c r="AF440"/>
  <c r="AE440"/>
  <c r="AD440"/>
  <c r="AC440"/>
  <c r="AB440"/>
  <c r="AA440"/>
  <c r="Z440"/>
  <c r="Y440"/>
  <c r="X440"/>
  <c r="W440"/>
  <c r="V440"/>
  <c r="U440"/>
  <c r="T440"/>
  <c r="S440"/>
  <c r="R440"/>
  <c r="Q440"/>
  <c r="P440"/>
  <c r="O440"/>
  <c r="N440"/>
  <c r="M440"/>
  <c r="L440"/>
  <c r="K440"/>
  <c r="J440"/>
  <c r="I440"/>
  <c r="H440"/>
  <c r="G440"/>
  <c r="F440"/>
  <c r="E440"/>
  <c r="D440"/>
  <c r="C440"/>
  <c r="B440"/>
  <c r="A440"/>
  <c r="CJ439"/>
  <c r="CI439"/>
  <c r="CH439"/>
  <c r="CG439"/>
  <c r="CF439"/>
  <c r="CE439"/>
  <c r="CD439"/>
  <c r="CC439"/>
  <c r="CB439"/>
  <c r="CA439"/>
  <c r="BZ439"/>
  <c r="BY439"/>
  <c r="BX439"/>
  <c r="BW439"/>
  <c r="BV439"/>
  <c r="BU439"/>
  <c r="BT439"/>
  <c r="BS439"/>
  <c r="BR439"/>
  <c r="BQ439"/>
  <c r="BP439"/>
  <c r="BO439"/>
  <c r="BN439"/>
  <c r="BM439"/>
  <c r="BL439"/>
  <c r="BK439"/>
  <c r="BJ439"/>
  <c r="BI439"/>
  <c r="BH439"/>
  <c r="BG439"/>
  <c r="BF439"/>
  <c r="BE439"/>
  <c r="BD439"/>
  <c r="BC439"/>
  <c r="BB439"/>
  <c r="BA439"/>
  <c r="AZ439"/>
  <c r="AY439"/>
  <c r="AX439"/>
  <c r="AW439"/>
  <c r="AV439"/>
  <c r="AU439"/>
  <c r="AT439"/>
  <c r="AS439"/>
  <c r="AR439"/>
  <c r="AQ439"/>
  <c r="AP439"/>
  <c r="AO439"/>
  <c r="AN439"/>
  <c r="AM439"/>
  <c r="AL439"/>
  <c r="AK439"/>
  <c r="AJ439"/>
  <c r="AI439"/>
  <c r="AH439"/>
  <c r="AG439"/>
  <c r="AF439"/>
  <c r="AE439"/>
  <c r="AD439"/>
  <c r="AC439"/>
  <c r="AB439"/>
  <c r="AA439"/>
  <c r="Z439"/>
  <c r="Y439"/>
  <c r="X439"/>
  <c r="W439"/>
  <c r="V439"/>
  <c r="U439"/>
  <c r="T439"/>
  <c r="S439"/>
  <c r="R439"/>
  <c r="Q439"/>
  <c r="P439"/>
  <c r="O439"/>
  <c r="N439"/>
  <c r="M439"/>
  <c r="L439"/>
  <c r="K439"/>
  <c r="J439"/>
  <c r="I439"/>
  <c r="H439"/>
  <c r="G439"/>
  <c r="F439"/>
  <c r="E439"/>
  <c r="D439"/>
  <c r="C439"/>
  <c r="B439"/>
  <c r="A439"/>
  <c r="CJ438"/>
  <c r="CI438"/>
  <c r="CH438"/>
  <c r="CG438"/>
  <c r="CF438"/>
  <c r="CE438"/>
  <c r="CD438"/>
  <c r="CC438"/>
  <c r="CB438"/>
  <c r="CA438"/>
  <c r="BZ438"/>
  <c r="BY438"/>
  <c r="BX438"/>
  <c r="BW438"/>
  <c r="BV438"/>
  <c r="BU438"/>
  <c r="BT438"/>
  <c r="BS438"/>
  <c r="BR438"/>
  <c r="BQ438"/>
  <c r="BP438"/>
  <c r="BO438"/>
  <c r="BN438"/>
  <c r="BM438"/>
  <c r="BL438"/>
  <c r="BK438"/>
  <c r="BJ438"/>
  <c r="BI438"/>
  <c r="BH438"/>
  <c r="BG438"/>
  <c r="BF438"/>
  <c r="BE438"/>
  <c r="BD438"/>
  <c r="BC438"/>
  <c r="BB438"/>
  <c r="BA438"/>
  <c r="AZ438"/>
  <c r="AY438"/>
  <c r="AX438"/>
  <c r="AW438"/>
  <c r="AV438"/>
  <c r="AU438"/>
  <c r="AT438"/>
  <c r="AS438"/>
  <c r="AR438"/>
  <c r="AQ438"/>
  <c r="AP438"/>
  <c r="AO438"/>
  <c r="AN438"/>
  <c r="AM438"/>
  <c r="AL438"/>
  <c r="AK438"/>
  <c r="AJ438"/>
  <c r="AI438"/>
  <c r="AH438"/>
  <c r="AG438"/>
  <c r="AF438"/>
  <c r="AE438"/>
  <c r="AD438"/>
  <c r="AC438"/>
  <c r="AB438"/>
  <c r="AA438"/>
  <c r="Z438"/>
  <c r="Y438"/>
  <c r="X438"/>
  <c r="W438"/>
  <c r="V438"/>
  <c r="U438"/>
  <c r="T438"/>
  <c r="S438"/>
  <c r="R438"/>
  <c r="Q438"/>
  <c r="P438"/>
  <c r="O438"/>
  <c r="N438"/>
  <c r="M438"/>
  <c r="L438"/>
  <c r="K438"/>
  <c r="J438"/>
  <c r="I438"/>
  <c r="H438"/>
  <c r="G438"/>
  <c r="F438"/>
  <c r="E438"/>
  <c r="D438"/>
  <c r="C438"/>
  <c r="B438"/>
  <c r="A438"/>
  <c r="CJ437"/>
  <c r="CI437"/>
  <c r="CH437"/>
  <c r="CG437"/>
  <c r="CF437"/>
  <c r="CE437"/>
  <c r="CD437"/>
  <c r="CC437"/>
  <c r="CB437"/>
  <c r="CA437"/>
  <c r="BZ437"/>
  <c r="BY437"/>
  <c r="BX437"/>
  <c r="BW437"/>
  <c r="BV437"/>
  <c r="BU437"/>
  <c r="BT437"/>
  <c r="BS437"/>
  <c r="BR437"/>
  <c r="BQ437"/>
  <c r="BP437"/>
  <c r="BO437"/>
  <c r="BN437"/>
  <c r="BM437"/>
  <c r="BL437"/>
  <c r="BK437"/>
  <c r="BJ437"/>
  <c r="BI437"/>
  <c r="BH437"/>
  <c r="BG437"/>
  <c r="BF437"/>
  <c r="BE437"/>
  <c r="BD437"/>
  <c r="BC437"/>
  <c r="BB437"/>
  <c r="BA437"/>
  <c r="AZ437"/>
  <c r="AY437"/>
  <c r="AX437"/>
  <c r="AW437"/>
  <c r="AV437"/>
  <c r="AU437"/>
  <c r="AT437"/>
  <c r="AS437"/>
  <c r="AR437"/>
  <c r="AQ437"/>
  <c r="AP437"/>
  <c r="AO437"/>
  <c r="AN437"/>
  <c r="AM437"/>
  <c r="AL437"/>
  <c r="AK437"/>
  <c r="AJ437"/>
  <c r="AI437"/>
  <c r="AH437"/>
  <c r="AG437"/>
  <c r="AF437"/>
  <c r="AE437"/>
  <c r="AD437"/>
  <c r="AC437"/>
  <c r="AB437"/>
  <c r="AA437"/>
  <c r="Z437"/>
  <c r="Y437"/>
  <c r="X437"/>
  <c r="W437"/>
  <c r="V437"/>
  <c r="U437"/>
  <c r="T437"/>
  <c r="S437"/>
  <c r="R437"/>
  <c r="Q437"/>
  <c r="P437"/>
  <c r="O437"/>
  <c r="N437"/>
  <c r="M437"/>
  <c r="L437"/>
  <c r="K437"/>
  <c r="J437"/>
  <c r="I437"/>
  <c r="H437"/>
  <c r="G437"/>
  <c r="F437"/>
  <c r="E437"/>
  <c r="D437"/>
  <c r="C437"/>
  <c r="B437"/>
  <c r="A437"/>
  <c r="CJ436"/>
  <c r="CI436"/>
  <c r="CH436"/>
  <c r="CG436"/>
  <c r="CF436"/>
  <c r="CE436"/>
  <c r="CD436"/>
  <c r="CC436"/>
  <c r="CB436"/>
  <c r="CA436"/>
  <c r="BZ436"/>
  <c r="BY436"/>
  <c r="BX436"/>
  <c r="BW436"/>
  <c r="BV436"/>
  <c r="BU436"/>
  <c r="BT436"/>
  <c r="BS436"/>
  <c r="BR436"/>
  <c r="BQ436"/>
  <c r="BP436"/>
  <c r="BO436"/>
  <c r="BN436"/>
  <c r="BM436"/>
  <c r="BL436"/>
  <c r="BK436"/>
  <c r="BJ436"/>
  <c r="BI436"/>
  <c r="BH436"/>
  <c r="BG436"/>
  <c r="BF436"/>
  <c r="BE436"/>
  <c r="BD436"/>
  <c r="BC436"/>
  <c r="BB436"/>
  <c r="BA436"/>
  <c r="AZ436"/>
  <c r="AY436"/>
  <c r="AX436"/>
  <c r="AW436"/>
  <c r="AV436"/>
  <c r="AU436"/>
  <c r="AT436"/>
  <c r="AS436"/>
  <c r="AR436"/>
  <c r="AQ436"/>
  <c r="AP436"/>
  <c r="AO436"/>
  <c r="AN436"/>
  <c r="AM436"/>
  <c r="AL436"/>
  <c r="AK436"/>
  <c r="AJ436"/>
  <c r="AI436"/>
  <c r="AH436"/>
  <c r="AG436"/>
  <c r="AF436"/>
  <c r="AE436"/>
  <c r="AD436"/>
  <c r="AC436"/>
  <c r="AB436"/>
  <c r="AA436"/>
  <c r="Z436"/>
  <c r="Y436"/>
  <c r="X436"/>
  <c r="W436"/>
  <c r="V436"/>
  <c r="U436"/>
  <c r="T436"/>
  <c r="S436"/>
  <c r="R436"/>
  <c r="Q436"/>
  <c r="P436"/>
  <c r="O436"/>
  <c r="N436"/>
  <c r="M436"/>
  <c r="L436"/>
  <c r="K436"/>
  <c r="J436"/>
  <c r="I436"/>
  <c r="H436"/>
  <c r="G436"/>
  <c r="F436"/>
  <c r="E436"/>
  <c r="D436"/>
  <c r="C436"/>
  <c r="B436"/>
  <c r="A436"/>
  <c r="CJ435"/>
  <c r="CI435"/>
  <c r="CH435"/>
  <c r="CG435"/>
  <c r="CF435"/>
  <c r="CE435"/>
  <c r="CD435"/>
  <c r="CC435"/>
  <c r="CB435"/>
  <c r="CA435"/>
  <c r="BZ435"/>
  <c r="BY435"/>
  <c r="BX435"/>
  <c r="BW435"/>
  <c r="BV435"/>
  <c r="BU435"/>
  <c r="BT435"/>
  <c r="BS435"/>
  <c r="BR435"/>
  <c r="BQ435"/>
  <c r="BP435"/>
  <c r="BO435"/>
  <c r="BN435"/>
  <c r="BM435"/>
  <c r="BL435"/>
  <c r="BK435"/>
  <c r="BJ435"/>
  <c r="BI435"/>
  <c r="BH435"/>
  <c r="BG435"/>
  <c r="BF435"/>
  <c r="BE435"/>
  <c r="BD435"/>
  <c r="BC435"/>
  <c r="BB435"/>
  <c r="BA435"/>
  <c r="AZ435"/>
  <c r="AY435"/>
  <c r="AX435"/>
  <c r="AW435"/>
  <c r="AV435"/>
  <c r="AU435"/>
  <c r="AT435"/>
  <c r="AS435"/>
  <c r="AR435"/>
  <c r="AQ435"/>
  <c r="AP435"/>
  <c r="AO435"/>
  <c r="AN435"/>
  <c r="AM435"/>
  <c r="AL435"/>
  <c r="AK435"/>
  <c r="AJ435"/>
  <c r="AI435"/>
  <c r="AH435"/>
  <c r="AG435"/>
  <c r="AF435"/>
  <c r="AE435"/>
  <c r="AD435"/>
  <c r="AC435"/>
  <c r="AB435"/>
  <c r="AA435"/>
  <c r="Z435"/>
  <c r="Y435"/>
  <c r="X435"/>
  <c r="W435"/>
  <c r="V435"/>
  <c r="U435"/>
  <c r="T435"/>
  <c r="S435"/>
  <c r="R435"/>
  <c r="Q435"/>
  <c r="P435"/>
  <c r="O435"/>
  <c r="N435"/>
  <c r="M435"/>
  <c r="L435"/>
  <c r="K435"/>
  <c r="J435"/>
  <c r="I435"/>
  <c r="H435"/>
  <c r="G435"/>
  <c r="F435"/>
  <c r="E435"/>
  <c r="D435"/>
  <c r="C435"/>
  <c r="B435"/>
  <c r="A435"/>
  <c r="CJ434"/>
  <c r="CI434"/>
  <c r="CH434"/>
  <c r="CG434"/>
  <c r="CF434"/>
  <c r="CE434"/>
  <c r="CD434"/>
  <c r="CC434"/>
  <c r="CB434"/>
  <c r="CA434"/>
  <c r="BZ434"/>
  <c r="BY434"/>
  <c r="BX434"/>
  <c r="BW434"/>
  <c r="BV434"/>
  <c r="BU434"/>
  <c r="BT434"/>
  <c r="BS434"/>
  <c r="BR434"/>
  <c r="BQ434"/>
  <c r="BP434"/>
  <c r="BO434"/>
  <c r="BN434"/>
  <c r="BM434"/>
  <c r="BL434"/>
  <c r="BK434"/>
  <c r="BJ434"/>
  <c r="BI434"/>
  <c r="BH434"/>
  <c r="BG434"/>
  <c r="BF434"/>
  <c r="BE434"/>
  <c r="BD434"/>
  <c r="BC434"/>
  <c r="BB434"/>
  <c r="BA434"/>
  <c r="AZ434"/>
  <c r="AY434"/>
  <c r="AX434"/>
  <c r="AW434"/>
  <c r="AV434"/>
  <c r="AU434"/>
  <c r="AT434"/>
  <c r="AS434"/>
  <c r="AR434"/>
  <c r="AQ434"/>
  <c r="AP434"/>
  <c r="AO434"/>
  <c r="AN434"/>
  <c r="AM434"/>
  <c r="AL434"/>
  <c r="AK434"/>
  <c r="AJ434"/>
  <c r="AI434"/>
  <c r="AH434"/>
  <c r="AG434"/>
  <c r="AF434"/>
  <c r="AE434"/>
  <c r="AD434"/>
  <c r="AC434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H434"/>
  <c r="G434"/>
  <c r="F434"/>
  <c r="E434"/>
  <c r="D434"/>
  <c r="C434"/>
  <c r="B434"/>
  <c r="A434"/>
  <c r="CJ433"/>
  <c r="CI433"/>
  <c r="CH433"/>
  <c r="CG433"/>
  <c r="CF433"/>
  <c r="CE433"/>
  <c r="CD433"/>
  <c r="CC433"/>
  <c r="CB433"/>
  <c r="CA433"/>
  <c r="BZ433"/>
  <c r="BY433"/>
  <c r="BX433"/>
  <c r="BW433"/>
  <c r="BV433"/>
  <c r="BU433"/>
  <c r="BT433"/>
  <c r="BS433"/>
  <c r="BR433"/>
  <c r="BQ433"/>
  <c r="BP433"/>
  <c r="BO433"/>
  <c r="BN433"/>
  <c r="BM433"/>
  <c r="BL433"/>
  <c r="BK433"/>
  <c r="BJ433"/>
  <c r="BI433"/>
  <c r="BH433"/>
  <c r="BG433"/>
  <c r="BF433"/>
  <c r="BE433"/>
  <c r="BD433"/>
  <c r="BC433"/>
  <c r="BB433"/>
  <c r="BA433"/>
  <c r="AZ433"/>
  <c r="AY433"/>
  <c r="AX433"/>
  <c r="AW433"/>
  <c r="AV433"/>
  <c r="AU433"/>
  <c r="AT433"/>
  <c r="AS433"/>
  <c r="AR433"/>
  <c r="AQ433"/>
  <c r="AP433"/>
  <c r="AO433"/>
  <c r="AN433"/>
  <c r="AM433"/>
  <c r="AL433"/>
  <c r="AK433"/>
  <c r="AJ433"/>
  <c r="AI433"/>
  <c r="AH433"/>
  <c r="AG433"/>
  <c r="AF433"/>
  <c r="AE433"/>
  <c r="AD433"/>
  <c r="AC433"/>
  <c r="AB433"/>
  <c r="AA433"/>
  <c r="Z433"/>
  <c r="Y433"/>
  <c r="X433"/>
  <c r="W433"/>
  <c r="V433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D433"/>
  <c r="C433"/>
  <c r="B433"/>
  <c r="A433"/>
  <c r="CJ432"/>
  <c r="CI432"/>
  <c r="CH432"/>
  <c r="CG432"/>
  <c r="CF432"/>
  <c r="CE432"/>
  <c r="CD432"/>
  <c r="CC432"/>
  <c r="CB432"/>
  <c r="CA432"/>
  <c r="BZ432"/>
  <c r="BY432"/>
  <c r="BX432"/>
  <c r="BW432"/>
  <c r="BV432"/>
  <c r="BU432"/>
  <c r="BT432"/>
  <c r="BS432"/>
  <c r="BR432"/>
  <c r="BQ432"/>
  <c r="BP432"/>
  <c r="BO432"/>
  <c r="BN432"/>
  <c r="BM432"/>
  <c r="BL432"/>
  <c r="BK432"/>
  <c r="BJ432"/>
  <c r="BI432"/>
  <c r="BH432"/>
  <c r="BG432"/>
  <c r="BF432"/>
  <c r="BE432"/>
  <c r="BD432"/>
  <c r="BC432"/>
  <c r="BB432"/>
  <c r="BA432"/>
  <c r="AZ432"/>
  <c r="AY432"/>
  <c r="AX432"/>
  <c r="AW432"/>
  <c r="AV432"/>
  <c r="AU432"/>
  <c r="AT432"/>
  <c r="AS432"/>
  <c r="AR432"/>
  <c r="AQ432"/>
  <c r="AP432"/>
  <c r="AO432"/>
  <c r="AN432"/>
  <c r="AM432"/>
  <c r="AL432"/>
  <c r="AK432"/>
  <c r="AJ432"/>
  <c r="AI432"/>
  <c r="AH432"/>
  <c r="AG432"/>
  <c r="AF432"/>
  <c r="AE432"/>
  <c r="AD432"/>
  <c r="AC432"/>
  <c r="AB432"/>
  <c r="AA432"/>
  <c r="Z432"/>
  <c r="Y432"/>
  <c r="X432"/>
  <c r="W432"/>
  <c r="V432"/>
  <c r="U432"/>
  <c r="T432"/>
  <c r="S432"/>
  <c r="R432"/>
  <c r="Q432"/>
  <c r="P432"/>
  <c r="O432"/>
  <c r="N432"/>
  <c r="M432"/>
  <c r="L432"/>
  <c r="K432"/>
  <c r="J432"/>
  <c r="I432"/>
  <c r="H432"/>
  <c r="G432"/>
  <c r="F432"/>
  <c r="E432"/>
  <c r="D432"/>
  <c r="C432"/>
  <c r="B432"/>
  <c r="A432"/>
  <c r="CJ431"/>
  <c r="CI431"/>
  <c r="CH431"/>
  <c r="CG431"/>
  <c r="CF431"/>
  <c r="CE431"/>
  <c r="CD431"/>
  <c r="CC431"/>
  <c r="CB431"/>
  <c r="CA431"/>
  <c r="BZ431"/>
  <c r="BY431"/>
  <c r="BX431"/>
  <c r="BW431"/>
  <c r="BV431"/>
  <c r="BU431"/>
  <c r="BT431"/>
  <c r="BS431"/>
  <c r="BR431"/>
  <c r="BQ431"/>
  <c r="BP431"/>
  <c r="BO431"/>
  <c r="BN431"/>
  <c r="BM431"/>
  <c r="BL431"/>
  <c r="BK431"/>
  <c r="BJ431"/>
  <c r="BI431"/>
  <c r="BH431"/>
  <c r="BG431"/>
  <c r="BF431"/>
  <c r="BE431"/>
  <c r="BD431"/>
  <c r="BC431"/>
  <c r="BB431"/>
  <c r="BA431"/>
  <c r="AZ431"/>
  <c r="AY431"/>
  <c r="AX431"/>
  <c r="AW431"/>
  <c r="AV431"/>
  <c r="AU431"/>
  <c r="AT431"/>
  <c r="AS431"/>
  <c r="AR431"/>
  <c r="AQ431"/>
  <c r="AP431"/>
  <c r="AO431"/>
  <c r="AN431"/>
  <c r="AM431"/>
  <c r="AL431"/>
  <c r="AK431"/>
  <c r="AJ431"/>
  <c r="AI431"/>
  <c r="AH431"/>
  <c r="AG431"/>
  <c r="AF431"/>
  <c r="AE431"/>
  <c r="AD431"/>
  <c r="AC431"/>
  <c r="AB431"/>
  <c r="AA431"/>
  <c r="Z431"/>
  <c r="Y431"/>
  <c r="X431"/>
  <c r="W431"/>
  <c r="V431"/>
  <c r="U431"/>
  <c r="T431"/>
  <c r="S431"/>
  <c r="R431"/>
  <c r="Q431"/>
  <c r="P431"/>
  <c r="O431"/>
  <c r="N431"/>
  <c r="M431"/>
  <c r="L431"/>
  <c r="K431"/>
  <c r="J431"/>
  <c r="I431"/>
  <c r="H431"/>
  <c r="G431"/>
  <c r="F431"/>
  <c r="E431"/>
  <c r="D431"/>
  <c r="C431"/>
  <c r="B431"/>
  <c r="A431"/>
  <c r="CJ430"/>
  <c r="CI430"/>
  <c r="CH430"/>
  <c r="CG430"/>
  <c r="CF430"/>
  <c r="CE430"/>
  <c r="CD430"/>
  <c r="CC430"/>
  <c r="CB430"/>
  <c r="CA430"/>
  <c r="BZ430"/>
  <c r="BY430"/>
  <c r="BX430"/>
  <c r="BW430"/>
  <c r="BV430"/>
  <c r="BU430"/>
  <c r="BT430"/>
  <c r="BS430"/>
  <c r="BR430"/>
  <c r="BQ430"/>
  <c r="BP430"/>
  <c r="BO430"/>
  <c r="BN430"/>
  <c r="BM430"/>
  <c r="BL430"/>
  <c r="BK430"/>
  <c r="BJ430"/>
  <c r="BI430"/>
  <c r="BH430"/>
  <c r="BG430"/>
  <c r="BF430"/>
  <c r="BE430"/>
  <c r="BD430"/>
  <c r="BC430"/>
  <c r="BB430"/>
  <c r="BA430"/>
  <c r="AZ430"/>
  <c r="AY430"/>
  <c r="AX430"/>
  <c r="AW430"/>
  <c r="AV430"/>
  <c r="AU430"/>
  <c r="AT430"/>
  <c r="AS430"/>
  <c r="AR430"/>
  <c r="AQ430"/>
  <c r="AP430"/>
  <c r="AO430"/>
  <c r="AN430"/>
  <c r="AM430"/>
  <c r="AL430"/>
  <c r="AK430"/>
  <c r="AJ430"/>
  <c r="AI430"/>
  <c r="AH430"/>
  <c r="AG430"/>
  <c r="AF430"/>
  <c r="AE430"/>
  <c r="AD430"/>
  <c r="AC430"/>
  <c r="AB430"/>
  <c r="AA430"/>
  <c r="Z430"/>
  <c r="Y430"/>
  <c r="X430"/>
  <c r="W430"/>
  <c r="V430"/>
  <c r="U430"/>
  <c r="T430"/>
  <c r="S430"/>
  <c r="R430"/>
  <c r="Q430"/>
  <c r="P430"/>
  <c r="O430"/>
  <c r="N430"/>
  <c r="M430"/>
  <c r="L430"/>
  <c r="K430"/>
  <c r="J430"/>
  <c r="I430"/>
  <c r="H430"/>
  <c r="G430"/>
  <c r="F430"/>
  <c r="E430"/>
  <c r="D430"/>
  <c r="C430"/>
  <c r="B430"/>
  <c r="A430"/>
  <c r="CJ429"/>
  <c r="CI429"/>
  <c r="CH429"/>
  <c r="CG429"/>
  <c r="CF429"/>
  <c r="CE429"/>
  <c r="CD429"/>
  <c r="CC429"/>
  <c r="CB429"/>
  <c r="CA429"/>
  <c r="BZ429"/>
  <c r="BY429"/>
  <c r="BX429"/>
  <c r="BW429"/>
  <c r="BV429"/>
  <c r="BU429"/>
  <c r="BT429"/>
  <c r="BS429"/>
  <c r="BR429"/>
  <c r="BQ429"/>
  <c r="BP429"/>
  <c r="BO429"/>
  <c r="BN429"/>
  <c r="BM429"/>
  <c r="BL429"/>
  <c r="BK429"/>
  <c r="BJ429"/>
  <c r="BI429"/>
  <c r="BH429"/>
  <c r="BG429"/>
  <c r="BF429"/>
  <c r="BE429"/>
  <c r="BD429"/>
  <c r="BC429"/>
  <c r="BB429"/>
  <c r="BA429"/>
  <c r="AZ429"/>
  <c r="AY429"/>
  <c r="AX429"/>
  <c r="AW429"/>
  <c r="AV429"/>
  <c r="AU429"/>
  <c r="AT429"/>
  <c r="AS429"/>
  <c r="AR429"/>
  <c r="AQ429"/>
  <c r="AP429"/>
  <c r="AO429"/>
  <c r="AN429"/>
  <c r="AM429"/>
  <c r="AL429"/>
  <c r="AK429"/>
  <c r="AJ429"/>
  <c r="AI429"/>
  <c r="AH429"/>
  <c r="AG429"/>
  <c r="AF429"/>
  <c r="AE429"/>
  <c r="AD429"/>
  <c r="AC429"/>
  <c r="AB429"/>
  <c r="AA429"/>
  <c r="Z429"/>
  <c r="Y429"/>
  <c r="X429"/>
  <c r="W429"/>
  <c r="V429"/>
  <c r="U429"/>
  <c r="T429"/>
  <c r="S429"/>
  <c r="R429"/>
  <c r="Q429"/>
  <c r="P429"/>
  <c r="O429"/>
  <c r="N429"/>
  <c r="M429"/>
  <c r="L429"/>
  <c r="K429"/>
  <c r="J429"/>
  <c r="I429"/>
  <c r="H429"/>
  <c r="G429"/>
  <c r="F429"/>
  <c r="E429"/>
  <c r="D429"/>
  <c r="C429"/>
  <c r="B429"/>
  <c r="A429"/>
  <c r="CJ428"/>
  <c r="CI428"/>
  <c r="CH428"/>
  <c r="CG428"/>
  <c r="CF428"/>
  <c r="CE428"/>
  <c r="CD428"/>
  <c r="CC428"/>
  <c r="CB428"/>
  <c r="CA428"/>
  <c r="BZ428"/>
  <c r="BY428"/>
  <c r="BX428"/>
  <c r="BW428"/>
  <c r="BV428"/>
  <c r="BU428"/>
  <c r="BT428"/>
  <c r="BS428"/>
  <c r="BR428"/>
  <c r="BQ428"/>
  <c r="BP428"/>
  <c r="BO428"/>
  <c r="BN428"/>
  <c r="BM428"/>
  <c r="BL428"/>
  <c r="BK428"/>
  <c r="BJ428"/>
  <c r="BI428"/>
  <c r="BH428"/>
  <c r="BG428"/>
  <c r="BF428"/>
  <c r="BE428"/>
  <c r="BD428"/>
  <c r="BC428"/>
  <c r="BB428"/>
  <c r="BA428"/>
  <c r="AZ428"/>
  <c r="AY428"/>
  <c r="AX428"/>
  <c r="AW428"/>
  <c r="AV428"/>
  <c r="AU428"/>
  <c r="AT428"/>
  <c r="AS428"/>
  <c r="AR428"/>
  <c r="AQ428"/>
  <c r="AP428"/>
  <c r="AO428"/>
  <c r="AN428"/>
  <c r="AM428"/>
  <c r="AL428"/>
  <c r="AK428"/>
  <c r="AJ428"/>
  <c r="AI428"/>
  <c r="AH428"/>
  <c r="AG428"/>
  <c r="AF428"/>
  <c r="AE428"/>
  <c r="AD428"/>
  <c r="AC428"/>
  <c r="AB428"/>
  <c r="AA428"/>
  <c r="Z428"/>
  <c r="Y428"/>
  <c r="X428"/>
  <c r="W428"/>
  <c r="V428"/>
  <c r="U428"/>
  <c r="T428"/>
  <c r="S428"/>
  <c r="R428"/>
  <c r="Q428"/>
  <c r="P428"/>
  <c r="O428"/>
  <c r="N428"/>
  <c r="M428"/>
  <c r="L428"/>
  <c r="K428"/>
  <c r="J428"/>
  <c r="I428"/>
  <c r="H428"/>
  <c r="G428"/>
  <c r="F428"/>
  <c r="E428"/>
  <c r="D428"/>
  <c r="C428"/>
  <c r="B428"/>
  <c r="A428"/>
  <c r="CJ427"/>
  <c r="CI427"/>
  <c r="CH427"/>
  <c r="CG427"/>
  <c r="CF427"/>
  <c r="CE427"/>
  <c r="CD427"/>
  <c r="CC427"/>
  <c r="CB427"/>
  <c r="CA427"/>
  <c r="BZ427"/>
  <c r="BY427"/>
  <c r="BX427"/>
  <c r="BW427"/>
  <c r="BV427"/>
  <c r="BU427"/>
  <c r="BT427"/>
  <c r="BS427"/>
  <c r="BR427"/>
  <c r="BQ427"/>
  <c r="BP427"/>
  <c r="BO427"/>
  <c r="BN427"/>
  <c r="BM427"/>
  <c r="BL427"/>
  <c r="BK427"/>
  <c r="BJ427"/>
  <c r="BI427"/>
  <c r="BH427"/>
  <c r="BG427"/>
  <c r="BF427"/>
  <c r="BE427"/>
  <c r="BD427"/>
  <c r="BC427"/>
  <c r="BB427"/>
  <c r="BA427"/>
  <c r="AZ427"/>
  <c r="AY427"/>
  <c r="AX427"/>
  <c r="AW427"/>
  <c r="AV427"/>
  <c r="AU427"/>
  <c r="AT427"/>
  <c r="AS427"/>
  <c r="AR427"/>
  <c r="AQ427"/>
  <c r="AP427"/>
  <c r="AO427"/>
  <c r="AN427"/>
  <c r="AM427"/>
  <c r="AL427"/>
  <c r="AK427"/>
  <c r="AJ427"/>
  <c r="AI427"/>
  <c r="AH427"/>
  <c r="AG427"/>
  <c r="AF427"/>
  <c r="AE427"/>
  <c r="AD427"/>
  <c r="AC427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K427"/>
  <c r="J427"/>
  <c r="I427"/>
  <c r="H427"/>
  <c r="G427"/>
  <c r="F427"/>
  <c r="E427"/>
  <c r="D427"/>
  <c r="C427"/>
  <c r="B427"/>
  <c r="A427"/>
  <c r="CJ426"/>
  <c r="CI426"/>
  <c r="CH426"/>
  <c r="CG426"/>
  <c r="CF426"/>
  <c r="CE426"/>
  <c r="CD426"/>
  <c r="CC426"/>
  <c r="CB426"/>
  <c r="CA426"/>
  <c r="BZ426"/>
  <c r="BY426"/>
  <c r="BX426"/>
  <c r="BW426"/>
  <c r="BV426"/>
  <c r="BU426"/>
  <c r="BT426"/>
  <c r="BS426"/>
  <c r="BR426"/>
  <c r="BQ426"/>
  <c r="BP426"/>
  <c r="BO426"/>
  <c r="BN426"/>
  <c r="BM426"/>
  <c r="BL426"/>
  <c r="BK426"/>
  <c r="BJ426"/>
  <c r="BI426"/>
  <c r="BH426"/>
  <c r="BG426"/>
  <c r="BF426"/>
  <c r="BE426"/>
  <c r="BD426"/>
  <c r="BC426"/>
  <c r="BB426"/>
  <c r="BA426"/>
  <c r="AZ426"/>
  <c r="AY426"/>
  <c r="AX426"/>
  <c r="AW426"/>
  <c r="AV426"/>
  <c r="AU426"/>
  <c r="AT426"/>
  <c r="AS426"/>
  <c r="AR426"/>
  <c r="AQ426"/>
  <c r="AP426"/>
  <c r="AO426"/>
  <c r="AN426"/>
  <c r="AM426"/>
  <c r="AL426"/>
  <c r="AK426"/>
  <c r="AJ426"/>
  <c r="AI426"/>
  <c r="AH426"/>
  <c r="AG426"/>
  <c r="AF426"/>
  <c r="AE426"/>
  <c r="AD426"/>
  <c r="AC426"/>
  <c r="AB426"/>
  <c r="AA426"/>
  <c r="Z426"/>
  <c r="Y426"/>
  <c r="X426"/>
  <c r="W426"/>
  <c r="V426"/>
  <c r="U426"/>
  <c r="T426"/>
  <c r="S426"/>
  <c r="R426"/>
  <c r="Q426"/>
  <c r="P426"/>
  <c r="O426"/>
  <c r="N426"/>
  <c r="M426"/>
  <c r="L426"/>
  <c r="K426"/>
  <c r="J426"/>
  <c r="I426"/>
  <c r="H426"/>
  <c r="G426"/>
  <c r="F426"/>
  <c r="E426"/>
  <c r="D426"/>
  <c r="C426"/>
  <c r="B426"/>
  <c r="A426"/>
  <c r="CJ425"/>
  <c r="CI425"/>
  <c r="CH425"/>
  <c r="CG425"/>
  <c r="CF425"/>
  <c r="CE425"/>
  <c r="CD425"/>
  <c r="CC425"/>
  <c r="CB425"/>
  <c r="CA425"/>
  <c r="BZ425"/>
  <c r="BY425"/>
  <c r="BX425"/>
  <c r="BW425"/>
  <c r="BV425"/>
  <c r="BU425"/>
  <c r="BT425"/>
  <c r="BS425"/>
  <c r="BR425"/>
  <c r="BQ425"/>
  <c r="BP425"/>
  <c r="BO425"/>
  <c r="BN425"/>
  <c r="BM425"/>
  <c r="BL425"/>
  <c r="BK425"/>
  <c r="BJ425"/>
  <c r="BI425"/>
  <c r="BH425"/>
  <c r="BG425"/>
  <c r="BF425"/>
  <c r="BE425"/>
  <c r="BD425"/>
  <c r="BC425"/>
  <c r="BB425"/>
  <c r="BA425"/>
  <c r="AZ425"/>
  <c r="AY425"/>
  <c r="AX425"/>
  <c r="AW425"/>
  <c r="AV425"/>
  <c r="AU425"/>
  <c r="AT425"/>
  <c r="AS425"/>
  <c r="AR425"/>
  <c r="AQ425"/>
  <c r="AP425"/>
  <c r="AO425"/>
  <c r="AN425"/>
  <c r="AM425"/>
  <c r="AL425"/>
  <c r="AK425"/>
  <c r="AJ425"/>
  <c r="AI425"/>
  <c r="AH425"/>
  <c r="AG425"/>
  <c r="AF425"/>
  <c r="AE425"/>
  <c r="AD425"/>
  <c r="AC425"/>
  <c r="AB425"/>
  <c r="AA425"/>
  <c r="Z425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H425"/>
  <c r="G425"/>
  <c r="F425"/>
  <c r="E425"/>
  <c r="D425"/>
  <c r="C425"/>
  <c r="B425"/>
  <c r="A425"/>
  <c r="CJ424"/>
  <c r="CI424"/>
  <c r="CH424"/>
  <c r="CG424"/>
  <c r="CF424"/>
  <c r="CE424"/>
  <c r="CD424"/>
  <c r="CC424"/>
  <c r="CB424"/>
  <c r="CA424"/>
  <c r="BZ424"/>
  <c r="BY424"/>
  <c r="BX424"/>
  <c r="BW424"/>
  <c r="BV424"/>
  <c r="BU424"/>
  <c r="BT424"/>
  <c r="BS424"/>
  <c r="BR424"/>
  <c r="BQ424"/>
  <c r="BP424"/>
  <c r="BO424"/>
  <c r="BN424"/>
  <c r="BM424"/>
  <c r="BL424"/>
  <c r="BK424"/>
  <c r="BJ424"/>
  <c r="BI424"/>
  <c r="BH424"/>
  <c r="BG424"/>
  <c r="BF424"/>
  <c r="BE424"/>
  <c r="BD424"/>
  <c r="BC424"/>
  <c r="BB424"/>
  <c r="BA424"/>
  <c r="AZ424"/>
  <c r="AY424"/>
  <c r="AX424"/>
  <c r="AW424"/>
  <c r="AV424"/>
  <c r="AU424"/>
  <c r="AT424"/>
  <c r="AS424"/>
  <c r="AR424"/>
  <c r="AQ424"/>
  <c r="AP424"/>
  <c r="AO424"/>
  <c r="AN424"/>
  <c r="AM424"/>
  <c r="AL424"/>
  <c r="AK424"/>
  <c r="AJ424"/>
  <c r="AI424"/>
  <c r="AH424"/>
  <c r="AG424"/>
  <c r="AF424"/>
  <c r="AE424"/>
  <c r="AD424"/>
  <c r="AC424"/>
  <c r="AB424"/>
  <c r="AA424"/>
  <c r="Z424"/>
  <c r="Y424"/>
  <c r="X424"/>
  <c r="W424"/>
  <c r="V424"/>
  <c r="U424"/>
  <c r="T424"/>
  <c r="S424"/>
  <c r="R424"/>
  <c r="Q424"/>
  <c r="P424"/>
  <c r="O424"/>
  <c r="N424"/>
  <c r="M424"/>
  <c r="L424"/>
  <c r="K424"/>
  <c r="J424"/>
  <c r="I424"/>
  <c r="H424"/>
  <c r="G424"/>
  <c r="F424"/>
  <c r="E424"/>
  <c r="D424"/>
  <c r="C424"/>
  <c r="B424"/>
  <c r="A424"/>
  <c r="CJ423"/>
  <c r="CI423"/>
  <c r="CH423"/>
  <c r="CG423"/>
  <c r="CF423"/>
  <c r="CE423"/>
  <c r="CD423"/>
  <c r="CC423"/>
  <c r="CB423"/>
  <c r="CA423"/>
  <c r="BZ423"/>
  <c r="BY423"/>
  <c r="BX423"/>
  <c r="BW423"/>
  <c r="BV423"/>
  <c r="BU423"/>
  <c r="BT423"/>
  <c r="BS423"/>
  <c r="BR423"/>
  <c r="BQ423"/>
  <c r="BP423"/>
  <c r="BO423"/>
  <c r="BN423"/>
  <c r="BM423"/>
  <c r="BL423"/>
  <c r="BK423"/>
  <c r="BJ423"/>
  <c r="BI423"/>
  <c r="BH423"/>
  <c r="BG423"/>
  <c r="BF423"/>
  <c r="BE423"/>
  <c r="BD423"/>
  <c r="BC423"/>
  <c r="BB423"/>
  <c r="BA423"/>
  <c r="AZ423"/>
  <c r="AY423"/>
  <c r="AX423"/>
  <c r="AW423"/>
  <c r="AV423"/>
  <c r="AU423"/>
  <c r="AT423"/>
  <c r="AS423"/>
  <c r="AR423"/>
  <c r="AQ423"/>
  <c r="AP423"/>
  <c r="AO423"/>
  <c r="AN423"/>
  <c r="AM423"/>
  <c r="AL423"/>
  <c r="AK423"/>
  <c r="AJ423"/>
  <c r="AI423"/>
  <c r="AH423"/>
  <c r="AG423"/>
  <c r="AF423"/>
  <c r="AE423"/>
  <c r="AD423"/>
  <c r="AC423"/>
  <c r="AB423"/>
  <c r="AA423"/>
  <c r="Z423"/>
  <c r="Y423"/>
  <c r="X423"/>
  <c r="W423"/>
  <c r="V423"/>
  <c r="U423"/>
  <c r="T423"/>
  <c r="S423"/>
  <c r="R423"/>
  <c r="Q423"/>
  <c r="P423"/>
  <c r="O423"/>
  <c r="N423"/>
  <c r="M423"/>
  <c r="L423"/>
  <c r="K423"/>
  <c r="J423"/>
  <c r="I423"/>
  <c r="H423"/>
  <c r="G423"/>
  <c r="F423"/>
  <c r="E423"/>
  <c r="D423"/>
  <c r="C423"/>
  <c r="B423"/>
  <c r="A423"/>
  <c r="CJ422"/>
  <c r="CI422"/>
  <c r="CH422"/>
  <c r="CG422"/>
  <c r="CF422"/>
  <c r="CE422"/>
  <c r="CD422"/>
  <c r="CC422"/>
  <c r="CB422"/>
  <c r="CA422"/>
  <c r="BZ422"/>
  <c r="BY422"/>
  <c r="BX422"/>
  <c r="BW422"/>
  <c r="BV422"/>
  <c r="BU422"/>
  <c r="BT422"/>
  <c r="BS422"/>
  <c r="BR422"/>
  <c r="BQ422"/>
  <c r="BP422"/>
  <c r="BO422"/>
  <c r="BN422"/>
  <c r="BM422"/>
  <c r="BL422"/>
  <c r="BK422"/>
  <c r="BJ422"/>
  <c r="BI422"/>
  <c r="BH422"/>
  <c r="BG422"/>
  <c r="BF422"/>
  <c r="BE422"/>
  <c r="BD422"/>
  <c r="BC422"/>
  <c r="BB422"/>
  <c r="BA422"/>
  <c r="AZ422"/>
  <c r="AY422"/>
  <c r="AX422"/>
  <c r="AW422"/>
  <c r="AV422"/>
  <c r="AU422"/>
  <c r="AT422"/>
  <c r="AS422"/>
  <c r="AR422"/>
  <c r="AQ422"/>
  <c r="AP422"/>
  <c r="AO422"/>
  <c r="AN422"/>
  <c r="AM422"/>
  <c r="AL422"/>
  <c r="AK422"/>
  <c r="AJ422"/>
  <c r="AI422"/>
  <c r="AH422"/>
  <c r="AG422"/>
  <c r="AF422"/>
  <c r="AE422"/>
  <c r="AD422"/>
  <c r="AC422"/>
  <c r="AB422"/>
  <c r="AA422"/>
  <c r="Z422"/>
  <c r="Y422"/>
  <c r="X422"/>
  <c r="W422"/>
  <c r="V422"/>
  <c r="U422"/>
  <c r="T422"/>
  <c r="S422"/>
  <c r="R422"/>
  <c r="Q422"/>
  <c r="P422"/>
  <c r="O422"/>
  <c r="N422"/>
  <c r="M422"/>
  <c r="L422"/>
  <c r="K422"/>
  <c r="J422"/>
  <c r="I422"/>
  <c r="H422"/>
  <c r="G422"/>
  <c r="F422"/>
  <c r="E422"/>
  <c r="D422"/>
  <c r="C422"/>
  <c r="B422"/>
  <c r="A422"/>
  <c r="CJ421"/>
  <c r="CI421"/>
  <c r="CH421"/>
  <c r="CG421"/>
  <c r="CF421"/>
  <c r="CE421"/>
  <c r="CD421"/>
  <c r="CC421"/>
  <c r="CB421"/>
  <c r="CA421"/>
  <c r="BZ421"/>
  <c r="BY421"/>
  <c r="BX421"/>
  <c r="BW421"/>
  <c r="BV421"/>
  <c r="BU421"/>
  <c r="BT421"/>
  <c r="BS421"/>
  <c r="BR421"/>
  <c r="BQ421"/>
  <c r="BP421"/>
  <c r="BO421"/>
  <c r="BN421"/>
  <c r="BM421"/>
  <c r="BL421"/>
  <c r="BK421"/>
  <c r="BJ421"/>
  <c r="BI421"/>
  <c r="BH421"/>
  <c r="BG421"/>
  <c r="BF421"/>
  <c r="BE421"/>
  <c r="BD421"/>
  <c r="BC421"/>
  <c r="BB421"/>
  <c r="BA421"/>
  <c r="AZ421"/>
  <c r="AY421"/>
  <c r="AX421"/>
  <c r="AW421"/>
  <c r="AV421"/>
  <c r="AU421"/>
  <c r="AT421"/>
  <c r="AS421"/>
  <c r="AR421"/>
  <c r="AQ421"/>
  <c r="AP421"/>
  <c r="AO421"/>
  <c r="AN421"/>
  <c r="AM421"/>
  <c r="AL421"/>
  <c r="AK421"/>
  <c r="AJ421"/>
  <c r="AI421"/>
  <c r="AH421"/>
  <c r="AG421"/>
  <c r="AF421"/>
  <c r="AE421"/>
  <c r="AD421"/>
  <c r="AC421"/>
  <c r="AB421"/>
  <c r="AA421"/>
  <c r="Z421"/>
  <c r="Y421"/>
  <c r="X421"/>
  <c r="W421"/>
  <c r="V421"/>
  <c r="U421"/>
  <c r="T421"/>
  <c r="S421"/>
  <c r="R421"/>
  <c r="Q421"/>
  <c r="P421"/>
  <c r="O421"/>
  <c r="N421"/>
  <c r="M421"/>
  <c r="L421"/>
  <c r="K421"/>
  <c r="J421"/>
  <c r="I421"/>
  <c r="H421"/>
  <c r="G421"/>
  <c r="F421"/>
  <c r="E421"/>
  <c r="D421"/>
  <c r="C421"/>
  <c r="B421"/>
  <c r="A421"/>
  <c r="CJ420"/>
  <c r="CI420"/>
  <c r="CH420"/>
  <c r="CG420"/>
  <c r="CF420"/>
  <c r="CE420"/>
  <c r="CD420"/>
  <c r="CC420"/>
  <c r="CB420"/>
  <c r="CA420"/>
  <c r="BZ420"/>
  <c r="BY420"/>
  <c r="BX420"/>
  <c r="BW420"/>
  <c r="BV420"/>
  <c r="BU420"/>
  <c r="BT420"/>
  <c r="BS420"/>
  <c r="BR420"/>
  <c r="BQ420"/>
  <c r="BP420"/>
  <c r="BO420"/>
  <c r="BN420"/>
  <c r="BM420"/>
  <c r="BL420"/>
  <c r="BK420"/>
  <c r="BJ420"/>
  <c r="BI420"/>
  <c r="BH420"/>
  <c r="BG420"/>
  <c r="BF420"/>
  <c r="BE420"/>
  <c r="BD420"/>
  <c r="BC420"/>
  <c r="BB420"/>
  <c r="BA420"/>
  <c r="AZ420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E420"/>
  <c r="AD420"/>
  <c r="AC420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K420"/>
  <c r="J420"/>
  <c r="I420"/>
  <c r="H420"/>
  <c r="G420"/>
  <c r="F420"/>
  <c r="E420"/>
  <c r="D420"/>
  <c r="C420"/>
  <c r="B420"/>
  <c r="A420"/>
  <c r="CJ419"/>
  <c r="CI419"/>
  <c r="CH419"/>
  <c r="CG419"/>
  <c r="CF419"/>
  <c r="CE419"/>
  <c r="CD419"/>
  <c r="CC419"/>
  <c r="CB419"/>
  <c r="CA419"/>
  <c r="BZ419"/>
  <c r="BY419"/>
  <c r="BX419"/>
  <c r="BW419"/>
  <c r="BV419"/>
  <c r="BU419"/>
  <c r="BT419"/>
  <c r="BS419"/>
  <c r="BR419"/>
  <c r="BQ419"/>
  <c r="BP419"/>
  <c r="BO419"/>
  <c r="BN419"/>
  <c r="BM419"/>
  <c r="BL419"/>
  <c r="BK419"/>
  <c r="BJ419"/>
  <c r="BI419"/>
  <c r="BH419"/>
  <c r="BG419"/>
  <c r="BF419"/>
  <c r="BE419"/>
  <c r="BD419"/>
  <c r="BC419"/>
  <c r="BB419"/>
  <c r="BA419"/>
  <c r="AZ419"/>
  <c r="AY419"/>
  <c r="AX419"/>
  <c r="AW419"/>
  <c r="AV419"/>
  <c r="AU419"/>
  <c r="AT419"/>
  <c r="AS419"/>
  <c r="AR419"/>
  <c r="AQ419"/>
  <c r="AP419"/>
  <c r="AO419"/>
  <c r="AN419"/>
  <c r="AM419"/>
  <c r="AL419"/>
  <c r="AK419"/>
  <c r="AJ419"/>
  <c r="AI419"/>
  <c r="AH419"/>
  <c r="AG419"/>
  <c r="AF419"/>
  <c r="AE419"/>
  <c r="AD419"/>
  <c r="AC419"/>
  <c r="AB419"/>
  <c r="AA419"/>
  <c r="Z419"/>
  <c r="Y419"/>
  <c r="X419"/>
  <c r="W419"/>
  <c r="V419"/>
  <c r="U419"/>
  <c r="T419"/>
  <c r="S419"/>
  <c r="R419"/>
  <c r="Q419"/>
  <c r="P419"/>
  <c r="O419"/>
  <c r="N419"/>
  <c r="M419"/>
  <c r="L419"/>
  <c r="K419"/>
  <c r="J419"/>
  <c r="I419"/>
  <c r="H419"/>
  <c r="G419"/>
  <c r="F419"/>
  <c r="E419"/>
  <c r="D419"/>
  <c r="C419"/>
  <c r="B419"/>
  <c r="A419"/>
  <c r="CJ418"/>
  <c r="CI418"/>
  <c r="CH418"/>
  <c r="CG418"/>
  <c r="CF418"/>
  <c r="CE418"/>
  <c r="CD418"/>
  <c r="CC418"/>
  <c r="CB418"/>
  <c r="CA418"/>
  <c r="BZ418"/>
  <c r="BY418"/>
  <c r="BX418"/>
  <c r="BW418"/>
  <c r="BV418"/>
  <c r="BU418"/>
  <c r="BT418"/>
  <c r="BS418"/>
  <c r="BR418"/>
  <c r="BQ418"/>
  <c r="BP418"/>
  <c r="BO418"/>
  <c r="BN418"/>
  <c r="BM418"/>
  <c r="BL418"/>
  <c r="BK418"/>
  <c r="BJ418"/>
  <c r="BI418"/>
  <c r="BH418"/>
  <c r="BG418"/>
  <c r="BF418"/>
  <c r="BE418"/>
  <c r="BD418"/>
  <c r="BC418"/>
  <c r="BB418"/>
  <c r="BA418"/>
  <c r="AZ418"/>
  <c r="AY418"/>
  <c r="AX418"/>
  <c r="AW418"/>
  <c r="AV418"/>
  <c r="AU418"/>
  <c r="AT418"/>
  <c r="AS418"/>
  <c r="AR418"/>
  <c r="AQ418"/>
  <c r="AP418"/>
  <c r="AO418"/>
  <c r="AN418"/>
  <c r="AM418"/>
  <c r="AL418"/>
  <c r="AK418"/>
  <c r="AJ418"/>
  <c r="AI418"/>
  <c r="AH418"/>
  <c r="AG418"/>
  <c r="AF418"/>
  <c r="AE418"/>
  <c r="AD418"/>
  <c r="AC418"/>
  <c r="AB418"/>
  <c r="AA418"/>
  <c r="Z418"/>
  <c r="Y418"/>
  <c r="X418"/>
  <c r="W418"/>
  <c r="V418"/>
  <c r="U418"/>
  <c r="T418"/>
  <c r="S418"/>
  <c r="R418"/>
  <c r="Q418"/>
  <c r="P418"/>
  <c r="O418"/>
  <c r="N418"/>
  <c r="M418"/>
  <c r="L418"/>
  <c r="K418"/>
  <c r="J418"/>
  <c r="I418"/>
  <c r="H418"/>
  <c r="G418"/>
  <c r="F418"/>
  <c r="E418"/>
  <c r="D418"/>
  <c r="C418"/>
  <c r="B418"/>
  <c r="A418"/>
  <c r="CJ417"/>
  <c r="CI417"/>
  <c r="CH417"/>
  <c r="CG417"/>
  <c r="CF417"/>
  <c r="CE417"/>
  <c r="CD417"/>
  <c r="CC417"/>
  <c r="CB417"/>
  <c r="CA417"/>
  <c r="BZ417"/>
  <c r="BY417"/>
  <c r="BX417"/>
  <c r="BW417"/>
  <c r="BV417"/>
  <c r="BU417"/>
  <c r="BT417"/>
  <c r="BS417"/>
  <c r="BR417"/>
  <c r="BQ417"/>
  <c r="BP417"/>
  <c r="BO417"/>
  <c r="BN417"/>
  <c r="BM417"/>
  <c r="BL417"/>
  <c r="BK417"/>
  <c r="BJ417"/>
  <c r="BI417"/>
  <c r="BH417"/>
  <c r="BG417"/>
  <c r="BF417"/>
  <c r="BE417"/>
  <c r="BD417"/>
  <c r="BC417"/>
  <c r="BB417"/>
  <c r="BA417"/>
  <c r="AZ417"/>
  <c r="AY417"/>
  <c r="AX417"/>
  <c r="AW417"/>
  <c r="AV417"/>
  <c r="AU417"/>
  <c r="AT417"/>
  <c r="AS417"/>
  <c r="AR417"/>
  <c r="AQ417"/>
  <c r="AP417"/>
  <c r="AO417"/>
  <c r="AN417"/>
  <c r="AM417"/>
  <c r="AL417"/>
  <c r="AK417"/>
  <c r="AJ417"/>
  <c r="AI417"/>
  <c r="AH417"/>
  <c r="AG417"/>
  <c r="AF417"/>
  <c r="AE417"/>
  <c r="AD417"/>
  <c r="AC417"/>
  <c r="AB417"/>
  <c r="AA417"/>
  <c r="Z417"/>
  <c r="Y417"/>
  <c r="X417"/>
  <c r="W417"/>
  <c r="V417"/>
  <c r="U417"/>
  <c r="T417"/>
  <c r="S417"/>
  <c r="R417"/>
  <c r="Q417"/>
  <c r="P417"/>
  <c r="O417"/>
  <c r="N417"/>
  <c r="M417"/>
  <c r="L417"/>
  <c r="K417"/>
  <c r="J417"/>
  <c r="I417"/>
  <c r="H417"/>
  <c r="G417"/>
  <c r="F417"/>
  <c r="E417"/>
  <c r="D417"/>
  <c r="C417"/>
  <c r="B417"/>
  <c r="A417"/>
  <c r="CJ416"/>
  <c r="CI416"/>
  <c r="CH416"/>
  <c r="CG416"/>
  <c r="CF416"/>
  <c r="CE416"/>
  <c r="CD416"/>
  <c r="CC416"/>
  <c r="CB416"/>
  <c r="CA416"/>
  <c r="BZ416"/>
  <c r="BY416"/>
  <c r="BX416"/>
  <c r="BW416"/>
  <c r="BV416"/>
  <c r="BU416"/>
  <c r="BT416"/>
  <c r="BS416"/>
  <c r="BR416"/>
  <c r="BQ416"/>
  <c r="BP416"/>
  <c r="BO416"/>
  <c r="BN416"/>
  <c r="BM416"/>
  <c r="BL416"/>
  <c r="BK416"/>
  <c r="BJ416"/>
  <c r="BI416"/>
  <c r="BH416"/>
  <c r="BG416"/>
  <c r="BF416"/>
  <c r="BE416"/>
  <c r="BD416"/>
  <c r="BC416"/>
  <c r="BB416"/>
  <c r="BA416"/>
  <c r="AZ416"/>
  <c r="AY416"/>
  <c r="AX416"/>
  <c r="AW416"/>
  <c r="AV416"/>
  <c r="AU416"/>
  <c r="AT416"/>
  <c r="AS416"/>
  <c r="AR416"/>
  <c r="AQ416"/>
  <c r="AP416"/>
  <c r="AO416"/>
  <c r="AN416"/>
  <c r="AM416"/>
  <c r="AL416"/>
  <c r="AK416"/>
  <c r="AJ416"/>
  <c r="AI416"/>
  <c r="AH416"/>
  <c r="AG416"/>
  <c r="AF416"/>
  <c r="AE416"/>
  <c r="AD416"/>
  <c r="AC416"/>
  <c r="AB416"/>
  <c r="AA416"/>
  <c r="Z416"/>
  <c r="Y416"/>
  <c r="X416"/>
  <c r="W416"/>
  <c r="V416"/>
  <c r="U416"/>
  <c r="T416"/>
  <c r="S416"/>
  <c r="R416"/>
  <c r="Q416"/>
  <c r="P416"/>
  <c r="O416"/>
  <c r="N416"/>
  <c r="M416"/>
  <c r="L416"/>
  <c r="K416"/>
  <c r="J416"/>
  <c r="I416"/>
  <c r="H416"/>
  <c r="G416"/>
  <c r="F416"/>
  <c r="E416"/>
  <c r="D416"/>
  <c r="C416"/>
  <c r="B416"/>
  <c r="A416"/>
  <c r="CJ415"/>
  <c r="CI415"/>
  <c r="CH415"/>
  <c r="CG415"/>
  <c r="CF415"/>
  <c r="CE415"/>
  <c r="CD415"/>
  <c r="CC415"/>
  <c r="CB415"/>
  <c r="CA415"/>
  <c r="BZ415"/>
  <c r="BY415"/>
  <c r="BX415"/>
  <c r="BW415"/>
  <c r="BV415"/>
  <c r="BU415"/>
  <c r="BT415"/>
  <c r="BS415"/>
  <c r="BR415"/>
  <c r="BQ415"/>
  <c r="BP415"/>
  <c r="BO415"/>
  <c r="BN415"/>
  <c r="BM415"/>
  <c r="BL415"/>
  <c r="BK415"/>
  <c r="BJ415"/>
  <c r="BI415"/>
  <c r="BH415"/>
  <c r="BG415"/>
  <c r="BF415"/>
  <c r="BE415"/>
  <c r="BD415"/>
  <c r="BC415"/>
  <c r="BB415"/>
  <c r="BA415"/>
  <c r="AZ415"/>
  <c r="AY415"/>
  <c r="AX415"/>
  <c r="AW415"/>
  <c r="AV415"/>
  <c r="AU415"/>
  <c r="AT415"/>
  <c r="AS415"/>
  <c r="AR415"/>
  <c r="AQ415"/>
  <c r="AP415"/>
  <c r="AO415"/>
  <c r="AN415"/>
  <c r="AM415"/>
  <c r="AL415"/>
  <c r="AK415"/>
  <c r="AJ415"/>
  <c r="AI415"/>
  <c r="AH415"/>
  <c r="AG415"/>
  <c r="AF415"/>
  <c r="AE415"/>
  <c r="AD415"/>
  <c r="AC415"/>
  <c r="AB415"/>
  <c r="AA415"/>
  <c r="Z415"/>
  <c r="Y415"/>
  <c r="X415"/>
  <c r="W415"/>
  <c r="V415"/>
  <c r="U415"/>
  <c r="T415"/>
  <c r="S415"/>
  <c r="R415"/>
  <c r="Q415"/>
  <c r="P415"/>
  <c r="O415"/>
  <c r="N415"/>
  <c r="M415"/>
  <c r="L415"/>
  <c r="K415"/>
  <c r="J415"/>
  <c r="I415"/>
  <c r="H415"/>
  <c r="G415"/>
  <c r="F415"/>
  <c r="E415"/>
  <c r="D415"/>
  <c r="C415"/>
  <c r="B415"/>
  <c r="A415"/>
  <c r="CJ414"/>
  <c r="CI414"/>
  <c r="CH414"/>
  <c r="CG414"/>
  <c r="CF414"/>
  <c r="CE414"/>
  <c r="CD414"/>
  <c r="CC414"/>
  <c r="CB414"/>
  <c r="CA414"/>
  <c r="BZ414"/>
  <c r="BY414"/>
  <c r="BX414"/>
  <c r="BW414"/>
  <c r="BV414"/>
  <c r="BU414"/>
  <c r="BT414"/>
  <c r="BS414"/>
  <c r="BR414"/>
  <c r="BQ414"/>
  <c r="BP414"/>
  <c r="BO414"/>
  <c r="BN414"/>
  <c r="BM414"/>
  <c r="BL414"/>
  <c r="BK414"/>
  <c r="BJ414"/>
  <c r="BI414"/>
  <c r="BH414"/>
  <c r="BG414"/>
  <c r="BF414"/>
  <c r="BE414"/>
  <c r="BD414"/>
  <c r="BC414"/>
  <c r="BB414"/>
  <c r="BA414"/>
  <c r="AZ414"/>
  <c r="AY414"/>
  <c r="AX414"/>
  <c r="AW414"/>
  <c r="AV414"/>
  <c r="AU414"/>
  <c r="AT414"/>
  <c r="AS414"/>
  <c r="AR414"/>
  <c r="AQ414"/>
  <c r="AP414"/>
  <c r="AO414"/>
  <c r="AN414"/>
  <c r="AM414"/>
  <c r="AL414"/>
  <c r="AK414"/>
  <c r="AJ414"/>
  <c r="AI414"/>
  <c r="AH414"/>
  <c r="AG414"/>
  <c r="AF414"/>
  <c r="AE414"/>
  <c r="AD414"/>
  <c r="AC414"/>
  <c r="AB414"/>
  <c r="AA414"/>
  <c r="Z414"/>
  <c r="Y414"/>
  <c r="X414"/>
  <c r="W414"/>
  <c r="V414"/>
  <c r="U414"/>
  <c r="T414"/>
  <c r="S414"/>
  <c r="R414"/>
  <c r="Q414"/>
  <c r="P414"/>
  <c r="O414"/>
  <c r="N414"/>
  <c r="M414"/>
  <c r="L414"/>
  <c r="K414"/>
  <c r="J414"/>
  <c r="I414"/>
  <c r="H414"/>
  <c r="G414"/>
  <c r="F414"/>
  <c r="E414"/>
  <c r="D414"/>
  <c r="C414"/>
  <c r="B414"/>
  <c r="A414"/>
  <c r="CJ413"/>
  <c r="CI413"/>
  <c r="CH413"/>
  <c r="CG413"/>
  <c r="CF413"/>
  <c r="CE413"/>
  <c r="CD413"/>
  <c r="CC413"/>
  <c r="CB413"/>
  <c r="CA413"/>
  <c r="BZ413"/>
  <c r="BY413"/>
  <c r="BX413"/>
  <c r="BW413"/>
  <c r="BV413"/>
  <c r="BU413"/>
  <c r="BT413"/>
  <c r="BS413"/>
  <c r="BR413"/>
  <c r="BQ413"/>
  <c r="BP413"/>
  <c r="BO413"/>
  <c r="BN413"/>
  <c r="BM413"/>
  <c r="BL413"/>
  <c r="BK413"/>
  <c r="BJ413"/>
  <c r="BI413"/>
  <c r="BH413"/>
  <c r="BG413"/>
  <c r="BF413"/>
  <c r="BE413"/>
  <c r="BD413"/>
  <c r="BC413"/>
  <c r="BB413"/>
  <c r="BA413"/>
  <c r="AZ413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E413"/>
  <c r="AD413"/>
  <c r="AC413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J413"/>
  <c r="I413"/>
  <c r="H413"/>
  <c r="G413"/>
  <c r="F413"/>
  <c r="E413"/>
  <c r="D413"/>
  <c r="C413"/>
  <c r="B413"/>
  <c r="A413"/>
  <c r="CJ412"/>
  <c r="CI412"/>
  <c r="CH412"/>
  <c r="CG412"/>
  <c r="CF412"/>
  <c r="CE412"/>
  <c r="CD412"/>
  <c r="CC412"/>
  <c r="CB412"/>
  <c r="CA412"/>
  <c r="BZ412"/>
  <c r="BY412"/>
  <c r="BX412"/>
  <c r="BW412"/>
  <c r="BV412"/>
  <c r="BU412"/>
  <c r="BT412"/>
  <c r="BS412"/>
  <c r="BR412"/>
  <c r="BQ412"/>
  <c r="BP412"/>
  <c r="BO412"/>
  <c r="BN412"/>
  <c r="BM412"/>
  <c r="BL412"/>
  <c r="BK412"/>
  <c r="BJ412"/>
  <c r="BI412"/>
  <c r="BH412"/>
  <c r="BG412"/>
  <c r="BF412"/>
  <c r="BE412"/>
  <c r="BD412"/>
  <c r="BC412"/>
  <c r="BB412"/>
  <c r="BA412"/>
  <c r="AZ412"/>
  <c r="AY412"/>
  <c r="AX412"/>
  <c r="AW412"/>
  <c r="AV412"/>
  <c r="AU412"/>
  <c r="AT412"/>
  <c r="AS412"/>
  <c r="AR412"/>
  <c r="AQ412"/>
  <c r="AP412"/>
  <c r="AO412"/>
  <c r="AN412"/>
  <c r="AM412"/>
  <c r="AL412"/>
  <c r="AK412"/>
  <c r="AJ412"/>
  <c r="AI412"/>
  <c r="AH412"/>
  <c r="AG412"/>
  <c r="AF412"/>
  <c r="AE412"/>
  <c r="AD412"/>
  <c r="AC412"/>
  <c r="AB412"/>
  <c r="AA412"/>
  <c r="Z412"/>
  <c r="Y412"/>
  <c r="X412"/>
  <c r="W412"/>
  <c r="V412"/>
  <c r="U412"/>
  <c r="T412"/>
  <c r="S412"/>
  <c r="R412"/>
  <c r="Q412"/>
  <c r="P412"/>
  <c r="O412"/>
  <c r="N412"/>
  <c r="M412"/>
  <c r="L412"/>
  <c r="K412"/>
  <c r="J412"/>
  <c r="I412"/>
  <c r="H412"/>
  <c r="G412"/>
  <c r="F412"/>
  <c r="E412"/>
  <c r="D412"/>
  <c r="C412"/>
  <c r="B412"/>
  <c r="A412"/>
  <c r="CJ411"/>
  <c r="CI411"/>
  <c r="CH411"/>
  <c r="CG411"/>
  <c r="CF411"/>
  <c r="CE411"/>
  <c r="CD411"/>
  <c r="CC411"/>
  <c r="CB411"/>
  <c r="CA411"/>
  <c r="BZ411"/>
  <c r="BY411"/>
  <c r="BX411"/>
  <c r="BW411"/>
  <c r="BV411"/>
  <c r="BU411"/>
  <c r="BT411"/>
  <c r="BS411"/>
  <c r="BR411"/>
  <c r="BQ411"/>
  <c r="BP411"/>
  <c r="BO411"/>
  <c r="BN411"/>
  <c r="BM411"/>
  <c r="BL411"/>
  <c r="BK411"/>
  <c r="BJ411"/>
  <c r="BI411"/>
  <c r="BH411"/>
  <c r="BG411"/>
  <c r="BF411"/>
  <c r="BE411"/>
  <c r="BD411"/>
  <c r="BC411"/>
  <c r="BB411"/>
  <c r="BA411"/>
  <c r="AZ411"/>
  <c r="AY411"/>
  <c r="AX411"/>
  <c r="AW411"/>
  <c r="AV411"/>
  <c r="AU411"/>
  <c r="AT411"/>
  <c r="AS411"/>
  <c r="AR411"/>
  <c r="AQ411"/>
  <c r="AP411"/>
  <c r="AO411"/>
  <c r="AN411"/>
  <c r="AM411"/>
  <c r="AL411"/>
  <c r="AK411"/>
  <c r="AJ411"/>
  <c r="AI411"/>
  <c r="AH411"/>
  <c r="AG411"/>
  <c r="AF411"/>
  <c r="AE411"/>
  <c r="AD411"/>
  <c r="AC411"/>
  <c r="AB411"/>
  <c r="AA411"/>
  <c r="Z411"/>
  <c r="Y411"/>
  <c r="X411"/>
  <c r="W411"/>
  <c r="V411"/>
  <c r="U411"/>
  <c r="T411"/>
  <c r="S411"/>
  <c r="R411"/>
  <c r="Q411"/>
  <c r="P411"/>
  <c r="O411"/>
  <c r="N411"/>
  <c r="M411"/>
  <c r="L411"/>
  <c r="K411"/>
  <c r="J411"/>
  <c r="I411"/>
  <c r="H411"/>
  <c r="G411"/>
  <c r="F411"/>
  <c r="E411"/>
  <c r="D411"/>
  <c r="C411"/>
  <c r="B411"/>
  <c r="A411"/>
  <c r="CJ410"/>
  <c r="CI410"/>
  <c r="CH410"/>
  <c r="CG410"/>
  <c r="CF410"/>
  <c r="CE410"/>
  <c r="CD410"/>
  <c r="CC410"/>
  <c r="CB410"/>
  <c r="CA410"/>
  <c r="BZ410"/>
  <c r="BY410"/>
  <c r="BX410"/>
  <c r="BW410"/>
  <c r="BV410"/>
  <c r="BU410"/>
  <c r="BT410"/>
  <c r="BS410"/>
  <c r="BR410"/>
  <c r="BQ410"/>
  <c r="BP410"/>
  <c r="BO410"/>
  <c r="BN410"/>
  <c r="BM410"/>
  <c r="BL410"/>
  <c r="BK410"/>
  <c r="BJ410"/>
  <c r="BI410"/>
  <c r="BH410"/>
  <c r="BG410"/>
  <c r="BF410"/>
  <c r="BE410"/>
  <c r="BD410"/>
  <c r="BC410"/>
  <c r="BB410"/>
  <c r="BA410"/>
  <c r="AZ410"/>
  <c r="AY410"/>
  <c r="AX410"/>
  <c r="AW410"/>
  <c r="AV410"/>
  <c r="AU410"/>
  <c r="AT410"/>
  <c r="AS410"/>
  <c r="AR410"/>
  <c r="AQ410"/>
  <c r="AP410"/>
  <c r="AO410"/>
  <c r="AN410"/>
  <c r="AM410"/>
  <c r="AL410"/>
  <c r="AK410"/>
  <c r="AJ410"/>
  <c r="AI410"/>
  <c r="AH410"/>
  <c r="AG410"/>
  <c r="AF410"/>
  <c r="AE410"/>
  <c r="AD410"/>
  <c r="AC410"/>
  <c r="AB410"/>
  <c r="AA410"/>
  <c r="Z410"/>
  <c r="Y410"/>
  <c r="X410"/>
  <c r="W410"/>
  <c r="V410"/>
  <c r="U410"/>
  <c r="T410"/>
  <c r="S410"/>
  <c r="R410"/>
  <c r="Q410"/>
  <c r="P410"/>
  <c r="O410"/>
  <c r="N410"/>
  <c r="M410"/>
  <c r="L410"/>
  <c r="K410"/>
  <c r="J410"/>
  <c r="I410"/>
  <c r="H410"/>
  <c r="G410"/>
  <c r="F410"/>
  <c r="E410"/>
  <c r="D410"/>
  <c r="C410"/>
  <c r="B410"/>
  <c r="A410"/>
  <c r="CJ409"/>
  <c r="CI409"/>
  <c r="CH409"/>
  <c r="CG409"/>
  <c r="CF409"/>
  <c r="CE409"/>
  <c r="CD409"/>
  <c r="CC409"/>
  <c r="CB409"/>
  <c r="CA409"/>
  <c r="BZ409"/>
  <c r="BY409"/>
  <c r="BX409"/>
  <c r="BW409"/>
  <c r="BV409"/>
  <c r="BU409"/>
  <c r="BT409"/>
  <c r="BS409"/>
  <c r="BR409"/>
  <c r="BQ409"/>
  <c r="BP409"/>
  <c r="BO409"/>
  <c r="BN409"/>
  <c r="BM409"/>
  <c r="BL409"/>
  <c r="BK409"/>
  <c r="BJ409"/>
  <c r="BI409"/>
  <c r="BH409"/>
  <c r="BG409"/>
  <c r="BF409"/>
  <c r="BE409"/>
  <c r="BD409"/>
  <c r="BC409"/>
  <c r="BB409"/>
  <c r="BA409"/>
  <c r="AZ409"/>
  <c r="AY409"/>
  <c r="AX409"/>
  <c r="AW409"/>
  <c r="AV409"/>
  <c r="AU409"/>
  <c r="AT409"/>
  <c r="AS409"/>
  <c r="AR409"/>
  <c r="AQ409"/>
  <c r="AP409"/>
  <c r="AO409"/>
  <c r="AN409"/>
  <c r="AM409"/>
  <c r="AL409"/>
  <c r="AK409"/>
  <c r="AJ409"/>
  <c r="AI409"/>
  <c r="AH409"/>
  <c r="AG409"/>
  <c r="AF409"/>
  <c r="AE409"/>
  <c r="AD409"/>
  <c r="AC409"/>
  <c r="AB409"/>
  <c r="AA409"/>
  <c r="Z409"/>
  <c r="Y409"/>
  <c r="X409"/>
  <c r="W409"/>
  <c r="V409"/>
  <c r="U409"/>
  <c r="T409"/>
  <c r="S409"/>
  <c r="R409"/>
  <c r="Q409"/>
  <c r="P409"/>
  <c r="O409"/>
  <c r="N409"/>
  <c r="M409"/>
  <c r="L409"/>
  <c r="K409"/>
  <c r="J409"/>
  <c r="I409"/>
  <c r="H409"/>
  <c r="G409"/>
  <c r="F409"/>
  <c r="E409"/>
  <c r="D409"/>
  <c r="C409"/>
  <c r="B409"/>
  <c r="A409"/>
  <c r="CJ408"/>
  <c r="CI408"/>
  <c r="CH408"/>
  <c r="CG408"/>
  <c r="CF408"/>
  <c r="CE408"/>
  <c r="CD408"/>
  <c r="CC408"/>
  <c r="CB408"/>
  <c r="CA408"/>
  <c r="BZ408"/>
  <c r="BY408"/>
  <c r="BX408"/>
  <c r="BW408"/>
  <c r="BV408"/>
  <c r="BU408"/>
  <c r="BT408"/>
  <c r="BS408"/>
  <c r="BR408"/>
  <c r="BQ408"/>
  <c r="BP408"/>
  <c r="BO408"/>
  <c r="BN408"/>
  <c r="BM408"/>
  <c r="BL408"/>
  <c r="BK408"/>
  <c r="BJ408"/>
  <c r="BI408"/>
  <c r="BH408"/>
  <c r="BG408"/>
  <c r="BF408"/>
  <c r="BE408"/>
  <c r="BD408"/>
  <c r="BC408"/>
  <c r="BB408"/>
  <c r="BA408"/>
  <c r="AZ408"/>
  <c r="AY408"/>
  <c r="AX408"/>
  <c r="AW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D408"/>
  <c r="C408"/>
  <c r="B408"/>
  <c r="A408"/>
  <c r="CJ407"/>
  <c r="CI407"/>
  <c r="CH407"/>
  <c r="CG407"/>
  <c r="CF407"/>
  <c r="CE407"/>
  <c r="CD407"/>
  <c r="CC407"/>
  <c r="CB407"/>
  <c r="CA407"/>
  <c r="BZ407"/>
  <c r="BY407"/>
  <c r="BX407"/>
  <c r="BW407"/>
  <c r="BV407"/>
  <c r="BU407"/>
  <c r="BT407"/>
  <c r="BS407"/>
  <c r="BR407"/>
  <c r="BQ407"/>
  <c r="BP407"/>
  <c r="BO407"/>
  <c r="BN407"/>
  <c r="BM407"/>
  <c r="BL407"/>
  <c r="BK407"/>
  <c r="BJ407"/>
  <c r="BI407"/>
  <c r="BH407"/>
  <c r="BG407"/>
  <c r="BF407"/>
  <c r="BE407"/>
  <c r="BD407"/>
  <c r="BC407"/>
  <c r="BB407"/>
  <c r="BA407"/>
  <c r="AZ407"/>
  <c r="AY407"/>
  <c r="AX407"/>
  <c r="AW407"/>
  <c r="AV407"/>
  <c r="AU407"/>
  <c r="AT407"/>
  <c r="AS407"/>
  <c r="AR407"/>
  <c r="AQ407"/>
  <c r="AP407"/>
  <c r="AO407"/>
  <c r="AN407"/>
  <c r="AM407"/>
  <c r="AL407"/>
  <c r="AK407"/>
  <c r="AJ407"/>
  <c r="AI407"/>
  <c r="AH407"/>
  <c r="AG407"/>
  <c r="AF407"/>
  <c r="AE407"/>
  <c r="AD407"/>
  <c r="AC407"/>
  <c r="AB407"/>
  <c r="AA407"/>
  <c r="Z407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H407"/>
  <c r="G407"/>
  <c r="F407"/>
  <c r="E407"/>
  <c r="D407"/>
  <c r="C407"/>
  <c r="B407"/>
  <c r="A407"/>
  <c r="CJ406"/>
  <c r="CI406"/>
  <c r="CH406"/>
  <c r="CG406"/>
  <c r="CF406"/>
  <c r="CE406"/>
  <c r="CD406"/>
  <c r="CC406"/>
  <c r="CB406"/>
  <c r="CA406"/>
  <c r="BZ406"/>
  <c r="BY406"/>
  <c r="BX406"/>
  <c r="BW406"/>
  <c r="BV406"/>
  <c r="BU406"/>
  <c r="BT406"/>
  <c r="BS406"/>
  <c r="BR406"/>
  <c r="BQ406"/>
  <c r="BP406"/>
  <c r="BO406"/>
  <c r="BN406"/>
  <c r="BM406"/>
  <c r="BL406"/>
  <c r="BK406"/>
  <c r="BJ406"/>
  <c r="BI406"/>
  <c r="BH406"/>
  <c r="BG406"/>
  <c r="BF406"/>
  <c r="BE406"/>
  <c r="BD406"/>
  <c r="BC406"/>
  <c r="BB406"/>
  <c r="BA406"/>
  <c r="AZ406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H406"/>
  <c r="G406"/>
  <c r="F406"/>
  <c r="E406"/>
  <c r="D406"/>
  <c r="C406"/>
  <c r="B406"/>
  <c r="A406"/>
  <c r="CJ405"/>
  <c r="CI405"/>
  <c r="CH405"/>
  <c r="CG405"/>
  <c r="CF405"/>
  <c r="CE405"/>
  <c r="CD405"/>
  <c r="CC405"/>
  <c r="CB405"/>
  <c r="CA405"/>
  <c r="BZ405"/>
  <c r="BY405"/>
  <c r="BX405"/>
  <c r="BW405"/>
  <c r="BV405"/>
  <c r="BU405"/>
  <c r="BT405"/>
  <c r="BS405"/>
  <c r="BR405"/>
  <c r="BQ405"/>
  <c r="BP405"/>
  <c r="BO405"/>
  <c r="BN405"/>
  <c r="BM405"/>
  <c r="BL405"/>
  <c r="BK405"/>
  <c r="BJ405"/>
  <c r="BI405"/>
  <c r="BH405"/>
  <c r="BG405"/>
  <c r="BF405"/>
  <c r="BE405"/>
  <c r="BD405"/>
  <c r="BC405"/>
  <c r="BB405"/>
  <c r="BA405"/>
  <c r="AZ405"/>
  <c r="AY405"/>
  <c r="AX405"/>
  <c r="AW405"/>
  <c r="AV405"/>
  <c r="AU405"/>
  <c r="AT405"/>
  <c r="AS405"/>
  <c r="AR405"/>
  <c r="AQ405"/>
  <c r="AP405"/>
  <c r="AO405"/>
  <c r="AN405"/>
  <c r="AM405"/>
  <c r="AL405"/>
  <c r="AK405"/>
  <c r="AJ405"/>
  <c r="AI405"/>
  <c r="AH405"/>
  <c r="AG405"/>
  <c r="AF405"/>
  <c r="AE405"/>
  <c r="AD405"/>
  <c r="AC405"/>
  <c r="AB405"/>
  <c r="AA405"/>
  <c r="Z405"/>
  <c r="Y405"/>
  <c r="X405"/>
  <c r="W405"/>
  <c r="V405"/>
  <c r="U405"/>
  <c r="T405"/>
  <c r="S405"/>
  <c r="R405"/>
  <c r="Q405"/>
  <c r="P405"/>
  <c r="O405"/>
  <c r="N405"/>
  <c r="M405"/>
  <c r="L405"/>
  <c r="K405"/>
  <c r="J405"/>
  <c r="I405"/>
  <c r="H405"/>
  <c r="G405"/>
  <c r="F405"/>
  <c r="E405"/>
  <c r="D405"/>
  <c r="C405"/>
  <c r="B405"/>
  <c r="A405"/>
  <c r="CJ404"/>
  <c r="CI404"/>
  <c r="CH404"/>
  <c r="CG404"/>
  <c r="CF404"/>
  <c r="CE404"/>
  <c r="CD404"/>
  <c r="CC404"/>
  <c r="CB404"/>
  <c r="CA404"/>
  <c r="BZ404"/>
  <c r="BY404"/>
  <c r="BX404"/>
  <c r="BW404"/>
  <c r="BV404"/>
  <c r="BU404"/>
  <c r="BT404"/>
  <c r="BS404"/>
  <c r="BR404"/>
  <c r="BQ404"/>
  <c r="BP404"/>
  <c r="BO404"/>
  <c r="BN404"/>
  <c r="BM404"/>
  <c r="BL404"/>
  <c r="BK404"/>
  <c r="BJ404"/>
  <c r="BI404"/>
  <c r="BH404"/>
  <c r="BG404"/>
  <c r="BF404"/>
  <c r="BE404"/>
  <c r="BD404"/>
  <c r="BC404"/>
  <c r="BB404"/>
  <c r="BA404"/>
  <c r="AZ404"/>
  <c r="AY404"/>
  <c r="AX404"/>
  <c r="AW404"/>
  <c r="AV404"/>
  <c r="AU404"/>
  <c r="AT404"/>
  <c r="AS404"/>
  <c r="AR404"/>
  <c r="AQ404"/>
  <c r="AP404"/>
  <c r="AO404"/>
  <c r="AN404"/>
  <c r="AM404"/>
  <c r="AL404"/>
  <c r="AK404"/>
  <c r="AJ404"/>
  <c r="AI404"/>
  <c r="AH404"/>
  <c r="AG404"/>
  <c r="AF404"/>
  <c r="AE404"/>
  <c r="AD404"/>
  <c r="AC404"/>
  <c r="AB404"/>
  <c r="AA404"/>
  <c r="Z404"/>
  <c r="Y404"/>
  <c r="X404"/>
  <c r="W404"/>
  <c r="V404"/>
  <c r="U404"/>
  <c r="T404"/>
  <c r="S404"/>
  <c r="R404"/>
  <c r="Q404"/>
  <c r="P404"/>
  <c r="O404"/>
  <c r="N404"/>
  <c r="M404"/>
  <c r="L404"/>
  <c r="K404"/>
  <c r="J404"/>
  <c r="I404"/>
  <c r="H404"/>
  <c r="G404"/>
  <c r="F404"/>
  <c r="E404"/>
  <c r="D404"/>
  <c r="C404"/>
  <c r="B404"/>
  <c r="A404"/>
  <c r="CJ403"/>
  <c r="CI403"/>
  <c r="CH403"/>
  <c r="CG403"/>
  <c r="CF403"/>
  <c r="CE403"/>
  <c r="CD403"/>
  <c r="CC403"/>
  <c r="CB403"/>
  <c r="CA403"/>
  <c r="BZ403"/>
  <c r="BY403"/>
  <c r="BX403"/>
  <c r="BW403"/>
  <c r="BV403"/>
  <c r="BU403"/>
  <c r="BT403"/>
  <c r="BS403"/>
  <c r="BR403"/>
  <c r="BQ403"/>
  <c r="BP403"/>
  <c r="BO403"/>
  <c r="BN403"/>
  <c r="BM403"/>
  <c r="BL403"/>
  <c r="BK403"/>
  <c r="BJ403"/>
  <c r="BI403"/>
  <c r="BH403"/>
  <c r="BG403"/>
  <c r="BF403"/>
  <c r="BE403"/>
  <c r="BD403"/>
  <c r="BC403"/>
  <c r="BB403"/>
  <c r="BA403"/>
  <c r="AZ403"/>
  <c r="AY403"/>
  <c r="AX403"/>
  <c r="AW403"/>
  <c r="AV403"/>
  <c r="AU403"/>
  <c r="AT403"/>
  <c r="AS403"/>
  <c r="AR403"/>
  <c r="AQ403"/>
  <c r="AP403"/>
  <c r="AO403"/>
  <c r="AN403"/>
  <c r="AM403"/>
  <c r="AL403"/>
  <c r="AK403"/>
  <c r="AJ403"/>
  <c r="AI403"/>
  <c r="AH403"/>
  <c r="AG403"/>
  <c r="AF403"/>
  <c r="AE403"/>
  <c r="AD403"/>
  <c r="AC403"/>
  <c r="AB403"/>
  <c r="AA403"/>
  <c r="Z403"/>
  <c r="Y403"/>
  <c r="X403"/>
  <c r="W403"/>
  <c r="V403"/>
  <c r="U403"/>
  <c r="T403"/>
  <c r="S403"/>
  <c r="R403"/>
  <c r="Q403"/>
  <c r="P403"/>
  <c r="O403"/>
  <c r="N403"/>
  <c r="M403"/>
  <c r="L403"/>
  <c r="K403"/>
  <c r="J403"/>
  <c r="I403"/>
  <c r="H403"/>
  <c r="G403"/>
  <c r="F403"/>
  <c r="E403"/>
  <c r="D403"/>
  <c r="C403"/>
  <c r="B403"/>
  <c r="A403"/>
  <c r="CJ402"/>
  <c r="CI402"/>
  <c r="CH402"/>
  <c r="CG402"/>
  <c r="CF402"/>
  <c r="CE402"/>
  <c r="CD402"/>
  <c r="CC402"/>
  <c r="CB402"/>
  <c r="CA402"/>
  <c r="BZ402"/>
  <c r="BY402"/>
  <c r="BX402"/>
  <c r="BW402"/>
  <c r="BV402"/>
  <c r="BU402"/>
  <c r="BT402"/>
  <c r="BS402"/>
  <c r="BR402"/>
  <c r="BQ402"/>
  <c r="BP402"/>
  <c r="BO402"/>
  <c r="BN402"/>
  <c r="BM402"/>
  <c r="BL402"/>
  <c r="BK402"/>
  <c r="BJ402"/>
  <c r="BI402"/>
  <c r="BH402"/>
  <c r="BG402"/>
  <c r="BF402"/>
  <c r="BE402"/>
  <c r="BD402"/>
  <c r="BC402"/>
  <c r="BB402"/>
  <c r="BA402"/>
  <c r="AZ402"/>
  <c r="AY402"/>
  <c r="AX402"/>
  <c r="AW402"/>
  <c r="AV402"/>
  <c r="AU402"/>
  <c r="AT402"/>
  <c r="AS402"/>
  <c r="AR402"/>
  <c r="AQ402"/>
  <c r="AP402"/>
  <c r="AO402"/>
  <c r="AN402"/>
  <c r="AM402"/>
  <c r="AL402"/>
  <c r="AK402"/>
  <c r="AJ402"/>
  <c r="AI402"/>
  <c r="AH402"/>
  <c r="AG402"/>
  <c r="AF402"/>
  <c r="AE402"/>
  <c r="AD402"/>
  <c r="AC402"/>
  <c r="AB402"/>
  <c r="AA402"/>
  <c r="Z402"/>
  <c r="Y402"/>
  <c r="X402"/>
  <c r="W402"/>
  <c r="V402"/>
  <c r="U402"/>
  <c r="T402"/>
  <c r="S402"/>
  <c r="R402"/>
  <c r="Q402"/>
  <c r="P402"/>
  <c r="O402"/>
  <c r="N402"/>
  <c r="M402"/>
  <c r="L402"/>
  <c r="K402"/>
  <c r="J402"/>
  <c r="I402"/>
  <c r="H402"/>
  <c r="G402"/>
  <c r="F402"/>
  <c r="E402"/>
  <c r="D402"/>
  <c r="C402"/>
  <c r="B402"/>
  <c r="A402"/>
  <c r="CJ401"/>
  <c r="CI401"/>
  <c r="CH401"/>
  <c r="CG401"/>
  <c r="CF401"/>
  <c r="CE401"/>
  <c r="CD401"/>
  <c r="CC401"/>
  <c r="CB401"/>
  <c r="CA401"/>
  <c r="BZ401"/>
  <c r="BY401"/>
  <c r="BX401"/>
  <c r="BW401"/>
  <c r="BV401"/>
  <c r="BU401"/>
  <c r="BT401"/>
  <c r="BS401"/>
  <c r="BR401"/>
  <c r="BQ401"/>
  <c r="BP401"/>
  <c r="BO401"/>
  <c r="BN401"/>
  <c r="BM401"/>
  <c r="BL401"/>
  <c r="BK401"/>
  <c r="BJ401"/>
  <c r="BI401"/>
  <c r="BH401"/>
  <c r="BG401"/>
  <c r="BF401"/>
  <c r="BE401"/>
  <c r="BD401"/>
  <c r="BC401"/>
  <c r="BB401"/>
  <c r="BA401"/>
  <c r="AZ401"/>
  <c r="AY401"/>
  <c r="AX401"/>
  <c r="AW401"/>
  <c r="AV401"/>
  <c r="AU401"/>
  <c r="AT401"/>
  <c r="AS401"/>
  <c r="AR401"/>
  <c r="AQ401"/>
  <c r="AP401"/>
  <c r="AO401"/>
  <c r="AN401"/>
  <c r="AM401"/>
  <c r="AL401"/>
  <c r="AK401"/>
  <c r="AJ401"/>
  <c r="AI401"/>
  <c r="AH401"/>
  <c r="AG401"/>
  <c r="AF401"/>
  <c r="AE401"/>
  <c r="AD401"/>
  <c r="AC401"/>
  <c r="AB401"/>
  <c r="AA401"/>
  <c r="Z401"/>
  <c r="Y401"/>
  <c r="X401"/>
  <c r="W401"/>
  <c r="V401"/>
  <c r="U401"/>
  <c r="T401"/>
  <c r="S401"/>
  <c r="R401"/>
  <c r="Q401"/>
  <c r="P401"/>
  <c r="O401"/>
  <c r="N401"/>
  <c r="M401"/>
  <c r="L401"/>
  <c r="K401"/>
  <c r="J401"/>
  <c r="I401"/>
  <c r="H401"/>
  <c r="G401"/>
  <c r="F401"/>
  <c r="E401"/>
  <c r="D401"/>
  <c r="C401"/>
  <c r="B401"/>
  <c r="A401"/>
  <c r="CJ400"/>
  <c r="CI400"/>
  <c r="CH400"/>
  <c r="CG400"/>
  <c r="CF400"/>
  <c r="CE400"/>
  <c r="CD400"/>
  <c r="CC400"/>
  <c r="CB400"/>
  <c r="CA400"/>
  <c r="BZ400"/>
  <c r="BY400"/>
  <c r="BX400"/>
  <c r="BW400"/>
  <c r="BV400"/>
  <c r="BU400"/>
  <c r="BT400"/>
  <c r="BS400"/>
  <c r="BR400"/>
  <c r="BQ400"/>
  <c r="BP400"/>
  <c r="BO400"/>
  <c r="BN400"/>
  <c r="BM400"/>
  <c r="BL400"/>
  <c r="BK400"/>
  <c r="BJ400"/>
  <c r="BI400"/>
  <c r="BH400"/>
  <c r="BG400"/>
  <c r="BF400"/>
  <c r="BE400"/>
  <c r="BD400"/>
  <c r="BC400"/>
  <c r="BB400"/>
  <c r="BA400"/>
  <c r="AZ400"/>
  <c r="AY400"/>
  <c r="AX400"/>
  <c r="AW400"/>
  <c r="AV400"/>
  <c r="AU400"/>
  <c r="AT400"/>
  <c r="AS400"/>
  <c r="AR400"/>
  <c r="AQ400"/>
  <c r="AP400"/>
  <c r="AO400"/>
  <c r="AN400"/>
  <c r="AM400"/>
  <c r="AL400"/>
  <c r="AK400"/>
  <c r="AJ400"/>
  <c r="AI400"/>
  <c r="AH400"/>
  <c r="AG400"/>
  <c r="AF400"/>
  <c r="AE400"/>
  <c r="AD400"/>
  <c r="AC400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D400"/>
  <c r="C400"/>
  <c r="B400"/>
  <c r="A400"/>
  <c r="CJ399"/>
  <c r="CI399"/>
  <c r="CH399"/>
  <c r="CG399"/>
  <c r="CF399"/>
  <c r="CE399"/>
  <c r="CD399"/>
  <c r="CC399"/>
  <c r="CB399"/>
  <c r="CA399"/>
  <c r="BZ399"/>
  <c r="BY399"/>
  <c r="BX399"/>
  <c r="BW399"/>
  <c r="BV399"/>
  <c r="BU399"/>
  <c r="BT399"/>
  <c r="BS399"/>
  <c r="BR399"/>
  <c r="BQ399"/>
  <c r="BP399"/>
  <c r="BO399"/>
  <c r="BN399"/>
  <c r="BM399"/>
  <c r="BL399"/>
  <c r="BK399"/>
  <c r="BJ399"/>
  <c r="BI399"/>
  <c r="BH399"/>
  <c r="BG399"/>
  <c r="BF399"/>
  <c r="BE399"/>
  <c r="BD399"/>
  <c r="BC399"/>
  <c r="BB399"/>
  <c r="BA399"/>
  <c r="AZ399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G399"/>
  <c r="F399"/>
  <c r="E399"/>
  <c r="D399"/>
  <c r="C399"/>
  <c r="B399"/>
  <c r="A399"/>
  <c r="CJ398"/>
  <c r="CI398"/>
  <c r="CH398"/>
  <c r="CG398"/>
  <c r="CF398"/>
  <c r="CE398"/>
  <c r="CD398"/>
  <c r="CC398"/>
  <c r="CB398"/>
  <c r="CA398"/>
  <c r="BZ398"/>
  <c r="BY398"/>
  <c r="BX398"/>
  <c r="BW398"/>
  <c r="BV398"/>
  <c r="BU398"/>
  <c r="BT398"/>
  <c r="BS398"/>
  <c r="BR398"/>
  <c r="BQ398"/>
  <c r="BP398"/>
  <c r="BO398"/>
  <c r="BN398"/>
  <c r="BM398"/>
  <c r="BL398"/>
  <c r="BK398"/>
  <c r="BJ398"/>
  <c r="BI398"/>
  <c r="BH398"/>
  <c r="BG398"/>
  <c r="BF398"/>
  <c r="BE398"/>
  <c r="BD398"/>
  <c r="BC398"/>
  <c r="BB398"/>
  <c r="BA398"/>
  <c r="AZ398"/>
  <c r="AY398"/>
  <c r="AX398"/>
  <c r="AW398"/>
  <c r="AV398"/>
  <c r="AU398"/>
  <c r="AT398"/>
  <c r="AS398"/>
  <c r="AR398"/>
  <c r="AQ398"/>
  <c r="AP398"/>
  <c r="AO398"/>
  <c r="AN398"/>
  <c r="AM398"/>
  <c r="AL398"/>
  <c r="AK398"/>
  <c r="AJ398"/>
  <c r="AI398"/>
  <c r="AH398"/>
  <c r="AG398"/>
  <c r="AF398"/>
  <c r="AE398"/>
  <c r="AD398"/>
  <c r="AC398"/>
  <c r="AB398"/>
  <c r="AA398"/>
  <c r="Z398"/>
  <c r="Y398"/>
  <c r="X398"/>
  <c r="W398"/>
  <c r="V398"/>
  <c r="U398"/>
  <c r="T398"/>
  <c r="S398"/>
  <c r="R398"/>
  <c r="Q398"/>
  <c r="P398"/>
  <c r="O398"/>
  <c r="N398"/>
  <c r="M398"/>
  <c r="L398"/>
  <c r="K398"/>
  <c r="J398"/>
  <c r="I398"/>
  <c r="H398"/>
  <c r="G398"/>
  <c r="F398"/>
  <c r="E398"/>
  <c r="D398"/>
  <c r="C398"/>
  <c r="B398"/>
  <c r="A398"/>
  <c r="CJ397"/>
  <c r="CI397"/>
  <c r="CH397"/>
  <c r="CG397"/>
  <c r="CF397"/>
  <c r="CE397"/>
  <c r="CD397"/>
  <c r="CC397"/>
  <c r="CB397"/>
  <c r="CA397"/>
  <c r="BZ397"/>
  <c r="BY397"/>
  <c r="BX397"/>
  <c r="BW397"/>
  <c r="BV397"/>
  <c r="BU397"/>
  <c r="BT397"/>
  <c r="BS397"/>
  <c r="BR397"/>
  <c r="BQ397"/>
  <c r="BP397"/>
  <c r="BO397"/>
  <c r="BN397"/>
  <c r="BM397"/>
  <c r="BL397"/>
  <c r="BK397"/>
  <c r="BJ397"/>
  <c r="BI397"/>
  <c r="BH397"/>
  <c r="BG397"/>
  <c r="BF397"/>
  <c r="BE397"/>
  <c r="BD397"/>
  <c r="BC397"/>
  <c r="BB397"/>
  <c r="BA397"/>
  <c r="AZ397"/>
  <c r="AY397"/>
  <c r="AX397"/>
  <c r="AW397"/>
  <c r="AV397"/>
  <c r="AU397"/>
  <c r="AT397"/>
  <c r="AS397"/>
  <c r="AR397"/>
  <c r="AQ397"/>
  <c r="AP397"/>
  <c r="AO397"/>
  <c r="AN397"/>
  <c r="AM397"/>
  <c r="AL397"/>
  <c r="AK397"/>
  <c r="AJ397"/>
  <c r="AI397"/>
  <c r="AH397"/>
  <c r="AG397"/>
  <c r="AF397"/>
  <c r="AE397"/>
  <c r="AD397"/>
  <c r="AC397"/>
  <c r="AB397"/>
  <c r="AA397"/>
  <c r="Z397"/>
  <c r="Y397"/>
  <c r="X397"/>
  <c r="W397"/>
  <c r="V397"/>
  <c r="U397"/>
  <c r="T397"/>
  <c r="S397"/>
  <c r="R397"/>
  <c r="Q397"/>
  <c r="P397"/>
  <c r="O397"/>
  <c r="N397"/>
  <c r="M397"/>
  <c r="L397"/>
  <c r="K397"/>
  <c r="J397"/>
  <c r="I397"/>
  <c r="H397"/>
  <c r="G397"/>
  <c r="F397"/>
  <c r="E397"/>
  <c r="D397"/>
  <c r="C397"/>
  <c r="B397"/>
  <c r="A397"/>
  <c r="CJ396"/>
  <c r="CI396"/>
  <c r="CH396"/>
  <c r="CG396"/>
  <c r="CF396"/>
  <c r="CE396"/>
  <c r="CD396"/>
  <c r="CC396"/>
  <c r="CB396"/>
  <c r="CA396"/>
  <c r="BZ396"/>
  <c r="BY396"/>
  <c r="BX396"/>
  <c r="BW396"/>
  <c r="BV396"/>
  <c r="BU396"/>
  <c r="BT396"/>
  <c r="BS396"/>
  <c r="BR396"/>
  <c r="BQ396"/>
  <c r="BP396"/>
  <c r="BO396"/>
  <c r="BN396"/>
  <c r="BM396"/>
  <c r="BL396"/>
  <c r="BK396"/>
  <c r="BJ396"/>
  <c r="BI396"/>
  <c r="BH396"/>
  <c r="BG396"/>
  <c r="BF396"/>
  <c r="BE396"/>
  <c r="BD396"/>
  <c r="BC396"/>
  <c r="BB396"/>
  <c r="BA396"/>
  <c r="AZ396"/>
  <c r="AY396"/>
  <c r="AX396"/>
  <c r="AW396"/>
  <c r="AV396"/>
  <c r="AU396"/>
  <c r="AT396"/>
  <c r="AS396"/>
  <c r="AR396"/>
  <c r="AQ396"/>
  <c r="AP396"/>
  <c r="AO396"/>
  <c r="AN396"/>
  <c r="AM396"/>
  <c r="AL396"/>
  <c r="AK396"/>
  <c r="AJ396"/>
  <c r="AI396"/>
  <c r="AH396"/>
  <c r="AG396"/>
  <c r="AF396"/>
  <c r="AE396"/>
  <c r="AD396"/>
  <c r="AC396"/>
  <c r="AB396"/>
  <c r="AA396"/>
  <c r="Z396"/>
  <c r="Y396"/>
  <c r="X396"/>
  <c r="W396"/>
  <c r="V396"/>
  <c r="U396"/>
  <c r="T396"/>
  <c r="S396"/>
  <c r="R396"/>
  <c r="Q396"/>
  <c r="P396"/>
  <c r="O396"/>
  <c r="N396"/>
  <c r="M396"/>
  <c r="L396"/>
  <c r="K396"/>
  <c r="J396"/>
  <c r="I396"/>
  <c r="H396"/>
  <c r="G396"/>
  <c r="F396"/>
  <c r="E396"/>
  <c r="D396"/>
  <c r="C396"/>
  <c r="B396"/>
  <c r="A396"/>
  <c r="CJ395"/>
  <c r="CI395"/>
  <c r="CH395"/>
  <c r="CG395"/>
  <c r="CF395"/>
  <c r="CE395"/>
  <c r="CD395"/>
  <c r="CC395"/>
  <c r="CB395"/>
  <c r="CA395"/>
  <c r="BZ395"/>
  <c r="BY395"/>
  <c r="BX395"/>
  <c r="BW395"/>
  <c r="BV395"/>
  <c r="BU395"/>
  <c r="BT395"/>
  <c r="BS395"/>
  <c r="BR395"/>
  <c r="BQ395"/>
  <c r="BP395"/>
  <c r="BO395"/>
  <c r="BN395"/>
  <c r="BM395"/>
  <c r="BL395"/>
  <c r="BK395"/>
  <c r="BJ395"/>
  <c r="BI395"/>
  <c r="BH395"/>
  <c r="BG395"/>
  <c r="BF395"/>
  <c r="BE395"/>
  <c r="BD395"/>
  <c r="BC395"/>
  <c r="BB395"/>
  <c r="BA395"/>
  <c r="AZ395"/>
  <c r="AY395"/>
  <c r="AX395"/>
  <c r="AW395"/>
  <c r="AV395"/>
  <c r="AU395"/>
  <c r="AT395"/>
  <c r="AS395"/>
  <c r="AR395"/>
  <c r="AQ395"/>
  <c r="AP395"/>
  <c r="AO395"/>
  <c r="AN395"/>
  <c r="AM395"/>
  <c r="AL395"/>
  <c r="AK395"/>
  <c r="AJ395"/>
  <c r="AI395"/>
  <c r="AH395"/>
  <c r="AG395"/>
  <c r="AF395"/>
  <c r="AE395"/>
  <c r="AD395"/>
  <c r="AC395"/>
  <c r="AB395"/>
  <c r="AA395"/>
  <c r="Z395"/>
  <c r="Y395"/>
  <c r="X395"/>
  <c r="W395"/>
  <c r="V395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D395"/>
  <c r="C395"/>
  <c r="B395"/>
  <c r="A395"/>
  <c r="CJ394"/>
  <c r="CI394"/>
  <c r="CH394"/>
  <c r="CG394"/>
  <c r="CF394"/>
  <c r="CE394"/>
  <c r="CD394"/>
  <c r="CC394"/>
  <c r="CB394"/>
  <c r="CA394"/>
  <c r="BZ394"/>
  <c r="BY394"/>
  <c r="BX394"/>
  <c r="BW394"/>
  <c r="BV394"/>
  <c r="BU394"/>
  <c r="BT394"/>
  <c r="BS394"/>
  <c r="BR394"/>
  <c r="BQ394"/>
  <c r="BP394"/>
  <c r="BO394"/>
  <c r="BN394"/>
  <c r="BM394"/>
  <c r="BL394"/>
  <c r="BK394"/>
  <c r="BJ394"/>
  <c r="BI394"/>
  <c r="BH394"/>
  <c r="BG394"/>
  <c r="BF394"/>
  <c r="BE394"/>
  <c r="BD394"/>
  <c r="BC394"/>
  <c r="BB394"/>
  <c r="BA394"/>
  <c r="AZ394"/>
  <c r="AY394"/>
  <c r="AX394"/>
  <c r="AW394"/>
  <c r="AV394"/>
  <c r="AU394"/>
  <c r="AT394"/>
  <c r="AS394"/>
  <c r="AR394"/>
  <c r="AQ394"/>
  <c r="AP394"/>
  <c r="AO394"/>
  <c r="AN394"/>
  <c r="AM394"/>
  <c r="AL394"/>
  <c r="AK394"/>
  <c r="AJ394"/>
  <c r="AI394"/>
  <c r="AH394"/>
  <c r="AG394"/>
  <c r="AF394"/>
  <c r="AE394"/>
  <c r="AD394"/>
  <c r="AC394"/>
  <c r="AB394"/>
  <c r="AA394"/>
  <c r="Z394"/>
  <c r="Y394"/>
  <c r="X394"/>
  <c r="W394"/>
  <c r="V394"/>
  <c r="U394"/>
  <c r="T394"/>
  <c r="S394"/>
  <c r="R394"/>
  <c r="Q394"/>
  <c r="P394"/>
  <c r="O394"/>
  <c r="N394"/>
  <c r="M394"/>
  <c r="L394"/>
  <c r="K394"/>
  <c r="J394"/>
  <c r="I394"/>
  <c r="H394"/>
  <c r="G394"/>
  <c r="F394"/>
  <c r="E394"/>
  <c r="D394"/>
  <c r="C394"/>
  <c r="B394"/>
  <c r="A394"/>
  <c r="CJ393"/>
  <c r="CI393"/>
  <c r="CH393"/>
  <c r="CG393"/>
  <c r="CF393"/>
  <c r="CE393"/>
  <c r="CD393"/>
  <c r="CC393"/>
  <c r="CB393"/>
  <c r="CA393"/>
  <c r="BZ393"/>
  <c r="BY393"/>
  <c r="BX393"/>
  <c r="BW393"/>
  <c r="BV393"/>
  <c r="BU393"/>
  <c r="BT393"/>
  <c r="BS393"/>
  <c r="BR393"/>
  <c r="BQ393"/>
  <c r="BP393"/>
  <c r="BO393"/>
  <c r="BN393"/>
  <c r="BM393"/>
  <c r="BL393"/>
  <c r="BK393"/>
  <c r="BJ393"/>
  <c r="BI393"/>
  <c r="BH393"/>
  <c r="BG393"/>
  <c r="BF393"/>
  <c r="BE393"/>
  <c r="BD393"/>
  <c r="BC393"/>
  <c r="BB393"/>
  <c r="BA393"/>
  <c r="AZ393"/>
  <c r="AY393"/>
  <c r="AX393"/>
  <c r="AW393"/>
  <c r="AV393"/>
  <c r="AU393"/>
  <c r="AT393"/>
  <c r="AS393"/>
  <c r="AR393"/>
  <c r="AQ393"/>
  <c r="AP393"/>
  <c r="AO393"/>
  <c r="AN393"/>
  <c r="AM393"/>
  <c r="AL393"/>
  <c r="AK393"/>
  <c r="AJ393"/>
  <c r="AI393"/>
  <c r="AH393"/>
  <c r="AG393"/>
  <c r="AF393"/>
  <c r="AE393"/>
  <c r="AD393"/>
  <c r="AC393"/>
  <c r="AB393"/>
  <c r="AA393"/>
  <c r="Z393"/>
  <c r="Y393"/>
  <c r="X393"/>
  <c r="W393"/>
  <c r="V393"/>
  <c r="U393"/>
  <c r="T393"/>
  <c r="S393"/>
  <c r="R393"/>
  <c r="Q393"/>
  <c r="P393"/>
  <c r="O393"/>
  <c r="N393"/>
  <c r="M393"/>
  <c r="L393"/>
  <c r="K393"/>
  <c r="J393"/>
  <c r="I393"/>
  <c r="H393"/>
  <c r="G393"/>
  <c r="F393"/>
  <c r="E393"/>
  <c r="D393"/>
  <c r="C393"/>
  <c r="B393"/>
  <c r="A393"/>
  <c r="CJ392"/>
  <c r="CI392"/>
  <c r="CH392"/>
  <c r="CG392"/>
  <c r="CF392"/>
  <c r="CE392"/>
  <c r="CD392"/>
  <c r="CC392"/>
  <c r="CB392"/>
  <c r="CA392"/>
  <c r="BZ392"/>
  <c r="BY392"/>
  <c r="BX392"/>
  <c r="BW392"/>
  <c r="BV392"/>
  <c r="BU392"/>
  <c r="BT392"/>
  <c r="BS392"/>
  <c r="BR392"/>
  <c r="BQ392"/>
  <c r="BP392"/>
  <c r="BO392"/>
  <c r="BN392"/>
  <c r="BM392"/>
  <c r="BL392"/>
  <c r="BK392"/>
  <c r="BJ392"/>
  <c r="BI392"/>
  <c r="BH392"/>
  <c r="BG392"/>
  <c r="BF392"/>
  <c r="BE392"/>
  <c r="BD392"/>
  <c r="BC392"/>
  <c r="BB392"/>
  <c r="BA392"/>
  <c r="AZ392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G392"/>
  <c r="F392"/>
  <c r="E392"/>
  <c r="D392"/>
  <c r="C392"/>
  <c r="B392"/>
  <c r="A392"/>
  <c r="CJ391"/>
  <c r="CI391"/>
  <c r="CH391"/>
  <c r="CG391"/>
  <c r="CF391"/>
  <c r="CE391"/>
  <c r="CD391"/>
  <c r="CC391"/>
  <c r="CB391"/>
  <c r="CA391"/>
  <c r="BZ391"/>
  <c r="BY391"/>
  <c r="BX391"/>
  <c r="BW391"/>
  <c r="BV391"/>
  <c r="BU391"/>
  <c r="BT391"/>
  <c r="BS391"/>
  <c r="BR391"/>
  <c r="BQ391"/>
  <c r="BP391"/>
  <c r="BO391"/>
  <c r="BN391"/>
  <c r="BM391"/>
  <c r="BL391"/>
  <c r="BK391"/>
  <c r="BJ391"/>
  <c r="BI391"/>
  <c r="BH391"/>
  <c r="BG391"/>
  <c r="BF391"/>
  <c r="BE391"/>
  <c r="BD391"/>
  <c r="BC391"/>
  <c r="BB391"/>
  <c r="BA391"/>
  <c r="AZ391"/>
  <c r="AY391"/>
  <c r="AX391"/>
  <c r="AW391"/>
  <c r="AV391"/>
  <c r="AU391"/>
  <c r="AT391"/>
  <c r="AS391"/>
  <c r="AR391"/>
  <c r="AQ391"/>
  <c r="AP391"/>
  <c r="AO391"/>
  <c r="AN391"/>
  <c r="AM391"/>
  <c r="AL391"/>
  <c r="AK391"/>
  <c r="AJ391"/>
  <c r="AI391"/>
  <c r="AH391"/>
  <c r="AG391"/>
  <c r="AF391"/>
  <c r="AE391"/>
  <c r="AD391"/>
  <c r="AC391"/>
  <c r="AB391"/>
  <c r="AA391"/>
  <c r="Z391"/>
  <c r="Y391"/>
  <c r="X391"/>
  <c r="W391"/>
  <c r="V391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D391"/>
  <c r="C391"/>
  <c r="B391"/>
  <c r="A391"/>
  <c r="CJ390"/>
  <c r="CI390"/>
  <c r="CH390"/>
  <c r="CG390"/>
  <c r="CF390"/>
  <c r="CE390"/>
  <c r="CD390"/>
  <c r="CC390"/>
  <c r="CB390"/>
  <c r="CA390"/>
  <c r="BZ390"/>
  <c r="BY390"/>
  <c r="BX390"/>
  <c r="BW390"/>
  <c r="BV390"/>
  <c r="BU390"/>
  <c r="BT390"/>
  <c r="BS390"/>
  <c r="BR390"/>
  <c r="BQ390"/>
  <c r="BP390"/>
  <c r="BO390"/>
  <c r="BN390"/>
  <c r="BM390"/>
  <c r="BL390"/>
  <c r="BK390"/>
  <c r="BJ390"/>
  <c r="BI390"/>
  <c r="BH390"/>
  <c r="BG390"/>
  <c r="BF390"/>
  <c r="BE390"/>
  <c r="BD390"/>
  <c r="BC390"/>
  <c r="BB390"/>
  <c r="BA390"/>
  <c r="AZ390"/>
  <c r="AY390"/>
  <c r="AX390"/>
  <c r="AW390"/>
  <c r="AV390"/>
  <c r="AU390"/>
  <c r="AT390"/>
  <c r="AS390"/>
  <c r="AR390"/>
  <c r="AQ390"/>
  <c r="AP390"/>
  <c r="AO390"/>
  <c r="AN390"/>
  <c r="AM390"/>
  <c r="AL390"/>
  <c r="AK390"/>
  <c r="AJ390"/>
  <c r="AI390"/>
  <c r="AH390"/>
  <c r="AG390"/>
  <c r="AF390"/>
  <c r="AE390"/>
  <c r="AD390"/>
  <c r="AC390"/>
  <c r="AB390"/>
  <c r="AA390"/>
  <c r="Z390"/>
  <c r="Y390"/>
  <c r="X390"/>
  <c r="W390"/>
  <c r="V390"/>
  <c r="U390"/>
  <c r="T390"/>
  <c r="S390"/>
  <c r="R390"/>
  <c r="Q390"/>
  <c r="P390"/>
  <c r="O390"/>
  <c r="N390"/>
  <c r="M390"/>
  <c r="L390"/>
  <c r="K390"/>
  <c r="J390"/>
  <c r="I390"/>
  <c r="H390"/>
  <c r="G390"/>
  <c r="F390"/>
  <c r="E390"/>
  <c r="D390"/>
  <c r="C390"/>
  <c r="B390"/>
  <c r="A390"/>
  <c r="CJ389"/>
  <c r="CI389"/>
  <c r="CH389"/>
  <c r="CG389"/>
  <c r="CF389"/>
  <c r="CE389"/>
  <c r="CD389"/>
  <c r="CC389"/>
  <c r="CB389"/>
  <c r="CA389"/>
  <c r="BZ389"/>
  <c r="BY389"/>
  <c r="BX389"/>
  <c r="BW389"/>
  <c r="BV389"/>
  <c r="BU389"/>
  <c r="BT389"/>
  <c r="BS389"/>
  <c r="BR389"/>
  <c r="BQ389"/>
  <c r="BP389"/>
  <c r="BO389"/>
  <c r="BN389"/>
  <c r="BM389"/>
  <c r="BL389"/>
  <c r="BK389"/>
  <c r="BJ389"/>
  <c r="BI389"/>
  <c r="BH389"/>
  <c r="BG389"/>
  <c r="BF389"/>
  <c r="BE389"/>
  <c r="BD389"/>
  <c r="BC389"/>
  <c r="BB389"/>
  <c r="BA389"/>
  <c r="AZ389"/>
  <c r="AY389"/>
  <c r="AX389"/>
  <c r="AW389"/>
  <c r="AV389"/>
  <c r="AU389"/>
  <c r="AT389"/>
  <c r="AS389"/>
  <c r="AR389"/>
  <c r="AQ389"/>
  <c r="AP389"/>
  <c r="AO389"/>
  <c r="AN389"/>
  <c r="AM389"/>
  <c r="AL389"/>
  <c r="AK389"/>
  <c r="AJ389"/>
  <c r="AI389"/>
  <c r="AH389"/>
  <c r="AG389"/>
  <c r="AF389"/>
  <c r="AE389"/>
  <c r="AD389"/>
  <c r="AC389"/>
  <c r="AB389"/>
  <c r="AA389"/>
  <c r="Z389"/>
  <c r="Y389"/>
  <c r="X389"/>
  <c r="W389"/>
  <c r="V389"/>
  <c r="U389"/>
  <c r="T389"/>
  <c r="S389"/>
  <c r="R389"/>
  <c r="Q389"/>
  <c r="P389"/>
  <c r="O389"/>
  <c r="N389"/>
  <c r="M389"/>
  <c r="L389"/>
  <c r="K389"/>
  <c r="J389"/>
  <c r="I389"/>
  <c r="H389"/>
  <c r="G389"/>
  <c r="F389"/>
  <c r="E389"/>
  <c r="D389"/>
  <c r="C389"/>
  <c r="B389"/>
  <c r="A389"/>
  <c r="CJ388"/>
  <c r="CI388"/>
  <c r="CH388"/>
  <c r="CG388"/>
  <c r="CF388"/>
  <c r="CE388"/>
  <c r="CD388"/>
  <c r="CC388"/>
  <c r="CB388"/>
  <c r="CA388"/>
  <c r="BZ388"/>
  <c r="BY388"/>
  <c r="BX388"/>
  <c r="BW388"/>
  <c r="BV388"/>
  <c r="BU388"/>
  <c r="BT388"/>
  <c r="BS388"/>
  <c r="BR388"/>
  <c r="BQ388"/>
  <c r="BP388"/>
  <c r="BO388"/>
  <c r="BN388"/>
  <c r="BM388"/>
  <c r="BL388"/>
  <c r="BK388"/>
  <c r="BJ388"/>
  <c r="BI388"/>
  <c r="BH388"/>
  <c r="BG388"/>
  <c r="BF388"/>
  <c r="BE388"/>
  <c r="BD388"/>
  <c r="BC388"/>
  <c r="BB388"/>
  <c r="BA388"/>
  <c r="AZ388"/>
  <c r="AY388"/>
  <c r="AX388"/>
  <c r="AW388"/>
  <c r="AV388"/>
  <c r="AU388"/>
  <c r="AT388"/>
  <c r="AS388"/>
  <c r="AR388"/>
  <c r="AQ388"/>
  <c r="AP388"/>
  <c r="AO388"/>
  <c r="AN388"/>
  <c r="AM388"/>
  <c r="AL388"/>
  <c r="AK388"/>
  <c r="AJ388"/>
  <c r="AI388"/>
  <c r="AH388"/>
  <c r="AG388"/>
  <c r="AF388"/>
  <c r="AE388"/>
  <c r="AD388"/>
  <c r="AC388"/>
  <c r="AB388"/>
  <c r="AA388"/>
  <c r="Z388"/>
  <c r="Y388"/>
  <c r="X388"/>
  <c r="W388"/>
  <c r="V388"/>
  <c r="U388"/>
  <c r="T388"/>
  <c r="S388"/>
  <c r="R388"/>
  <c r="Q388"/>
  <c r="P388"/>
  <c r="O388"/>
  <c r="N388"/>
  <c r="M388"/>
  <c r="L388"/>
  <c r="K388"/>
  <c r="J388"/>
  <c r="I388"/>
  <c r="H388"/>
  <c r="G388"/>
  <c r="F388"/>
  <c r="E388"/>
  <c r="D388"/>
  <c r="C388"/>
  <c r="B388"/>
  <c r="A388"/>
  <c r="CJ387"/>
  <c r="CI387"/>
  <c r="CH387"/>
  <c r="CG387"/>
  <c r="CF387"/>
  <c r="CE387"/>
  <c r="CD387"/>
  <c r="CC387"/>
  <c r="CB387"/>
  <c r="CA387"/>
  <c r="BZ387"/>
  <c r="BY387"/>
  <c r="BX387"/>
  <c r="BW387"/>
  <c r="BV387"/>
  <c r="BU387"/>
  <c r="BT387"/>
  <c r="BS387"/>
  <c r="BR387"/>
  <c r="BQ387"/>
  <c r="BP387"/>
  <c r="BO387"/>
  <c r="BN387"/>
  <c r="BM387"/>
  <c r="BL387"/>
  <c r="BK387"/>
  <c r="BJ387"/>
  <c r="BI387"/>
  <c r="BH387"/>
  <c r="BG387"/>
  <c r="BF387"/>
  <c r="BE387"/>
  <c r="BD387"/>
  <c r="BC387"/>
  <c r="BB387"/>
  <c r="BA387"/>
  <c r="AZ387"/>
  <c r="AY387"/>
  <c r="AX387"/>
  <c r="AW387"/>
  <c r="AV387"/>
  <c r="AU387"/>
  <c r="AT387"/>
  <c r="AS387"/>
  <c r="AR387"/>
  <c r="AQ387"/>
  <c r="AP387"/>
  <c r="AO387"/>
  <c r="AN387"/>
  <c r="AM387"/>
  <c r="AL387"/>
  <c r="AK387"/>
  <c r="AJ387"/>
  <c r="AI387"/>
  <c r="AH387"/>
  <c r="AG387"/>
  <c r="AF387"/>
  <c r="AE387"/>
  <c r="AD387"/>
  <c r="AC387"/>
  <c r="AB387"/>
  <c r="AA387"/>
  <c r="Z387"/>
  <c r="Y387"/>
  <c r="X387"/>
  <c r="W387"/>
  <c r="V387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D387"/>
  <c r="C387"/>
  <c r="B387"/>
  <c r="A387"/>
  <c r="CJ386"/>
  <c r="CI386"/>
  <c r="CH386"/>
  <c r="CG386"/>
  <c r="CF386"/>
  <c r="CE386"/>
  <c r="CD386"/>
  <c r="CC386"/>
  <c r="CB386"/>
  <c r="CA386"/>
  <c r="BZ386"/>
  <c r="BY386"/>
  <c r="BX386"/>
  <c r="BW386"/>
  <c r="BV386"/>
  <c r="BU386"/>
  <c r="BT386"/>
  <c r="BS386"/>
  <c r="BR386"/>
  <c r="BQ386"/>
  <c r="BP386"/>
  <c r="BO386"/>
  <c r="BN386"/>
  <c r="BM386"/>
  <c r="BL386"/>
  <c r="BK386"/>
  <c r="BJ386"/>
  <c r="BI386"/>
  <c r="BH386"/>
  <c r="BG386"/>
  <c r="BF386"/>
  <c r="BE386"/>
  <c r="BD386"/>
  <c r="BC386"/>
  <c r="BB386"/>
  <c r="BA386"/>
  <c r="AZ386"/>
  <c r="AY386"/>
  <c r="AX386"/>
  <c r="AW386"/>
  <c r="AV386"/>
  <c r="AU386"/>
  <c r="AT386"/>
  <c r="AS386"/>
  <c r="AR386"/>
  <c r="AQ386"/>
  <c r="AP386"/>
  <c r="AO386"/>
  <c r="AN386"/>
  <c r="AM386"/>
  <c r="AL386"/>
  <c r="AK386"/>
  <c r="AJ386"/>
  <c r="AI386"/>
  <c r="AH386"/>
  <c r="AG386"/>
  <c r="AF386"/>
  <c r="AE386"/>
  <c r="AD386"/>
  <c r="AC386"/>
  <c r="AB386"/>
  <c r="AA386"/>
  <c r="Z386"/>
  <c r="Y386"/>
  <c r="X386"/>
  <c r="W386"/>
  <c r="V386"/>
  <c r="U386"/>
  <c r="T386"/>
  <c r="S386"/>
  <c r="R386"/>
  <c r="Q386"/>
  <c r="P386"/>
  <c r="O386"/>
  <c r="N386"/>
  <c r="M386"/>
  <c r="L386"/>
  <c r="K386"/>
  <c r="J386"/>
  <c r="I386"/>
  <c r="H386"/>
  <c r="G386"/>
  <c r="F386"/>
  <c r="E386"/>
  <c r="D386"/>
  <c r="C386"/>
  <c r="B386"/>
  <c r="A386"/>
  <c r="CJ385"/>
  <c r="CI385"/>
  <c r="CH385"/>
  <c r="CG385"/>
  <c r="CF385"/>
  <c r="CE385"/>
  <c r="CD385"/>
  <c r="CC385"/>
  <c r="CB385"/>
  <c r="CA385"/>
  <c r="BZ385"/>
  <c r="BY385"/>
  <c r="BX385"/>
  <c r="BW385"/>
  <c r="BV385"/>
  <c r="BU385"/>
  <c r="BT385"/>
  <c r="BS385"/>
  <c r="BR385"/>
  <c r="BQ385"/>
  <c r="BP385"/>
  <c r="BO385"/>
  <c r="BN385"/>
  <c r="BM385"/>
  <c r="BL385"/>
  <c r="BK385"/>
  <c r="BJ385"/>
  <c r="BI385"/>
  <c r="BH385"/>
  <c r="BG385"/>
  <c r="BF385"/>
  <c r="BE385"/>
  <c r="BD385"/>
  <c r="BC385"/>
  <c r="BB385"/>
  <c r="BA385"/>
  <c r="AZ385"/>
  <c r="AY385"/>
  <c r="AX385"/>
  <c r="AW385"/>
  <c r="AV385"/>
  <c r="AU385"/>
  <c r="AT385"/>
  <c r="AS385"/>
  <c r="AR385"/>
  <c r="AQ385"/>
  <c r="AP385"/>
  <c r="AO385"/>
  <c r="AN385"/>
  <c r="AM385"/>
  <c r="AL385"/>
  <c r="AK385"/>
  <c r="AJ385"/>
  <c r="AI385"/>
  <c r="AH385"/>
  <c r="AG385"/>
  <c r="AF385"/>
  <c r="AE385"/>
  <c r="AD385"/>
  <c r="AC385"/>
  <c r="AB385"/>
  <c r="AA385"/>
  <c r="Z385"/>
  <c r="Y385"/>
  <c r="X385"/>
  <c r="W385"/>
  <c r="V385"/>
  <c r="U385"/>
  <c r="T385"/>
  <c r="S385"/>
  <c r="R385"/>
  <c r="Q385"/>
  <c r="P385"/>
  <c r="O385"/>
  <c r="N385"/>
  <c r="M385"/>
  <c r="L385"/>
  <c r="K385"/>
  <c r="J385"/>
  <c r="I385"/>
  <c r="H385"/>
  <c r="G385"/>
  <c r="F385"/>
  <c r="E385"/>
  <c r="D385"/>
  <c r="C385"/>
  <c r="B385"/>
  <c r="A385"/>
  <c r="CJ384"/>
  <c r="CI384"/>
  <c r="CH384"/>
  <c r="CG384"/>
  <c r="CF384"/>
  <c r="CE384"/>
  <c r="CD384"/>
  <c r="CC384"/>
  <c r="CB384"/>
  <c r="CA384"/>
  <c r="BZ384"/>
  <c r="BY384"/>
  <c r="BX384"/>
  <c r="BW384"/>
  <c r="BV384"/>
  <c r="BU384"/>
  <c r="BT384"/>
  <c r="BS384"/>
  <c r="BR384"/>
  <c r="BQ384"/>
  <c r="BP384"/>
  <c r="BO384"/>
  <c r="BN384"/>
  <c r="BM384"/>
  <c r="BL384"/>
  <c r="BK384"/>
  <c r="BJ384"/>
  <c r="BI384"/>
  <c r="BH384"/>
  <c r="BG384"/>
  <c r="BF384"/>
  <c r="BE384"/>
  <c r="BD384"/>
  <c r="BC384"/>
  <c r="BB384"/>
  <c r="BA384"/>
  <c r="AZ384"/>
  <c r="AY384"/>
  <c r="AX384"/>
  <c r="AW384"/>
  <c r="AV384"/>
  <c r="AU384"/>
  <c r="AT384"/>
  <c r="AS384"/>
  <c r="AR384"/>
  <c r="AQ384"/>
  <c r="AP384"/>
  <c r="AO384"/>
  <c r="AN384"/>
  <c r="AM384"/>
  <c r="AL384"/>
  <c r="AK384"/>
  <c r="AJ384"/>
  <c r="AI384"/>
  <c r="AH384"/>
  <c r="AG384"/>
  <c r="AF384"/>
  <c r="AE384"/>
  <c r="AD384"/>
  <c r="AC384"/>
  <c r="AB384"/>
  <c r="AA384"/>
  <c r="Z384"/>
  <c r="Y384"/>
  <c r="X384"/>
  <c r="W384"/>
  <c r="V384"/>
  <c r="U384"/>
  <c r="T384"/>
  <c r="S384"/>
  <c r="R384"/>
  <c r="Q384"/>
  <c r="P384"/>
  <c r="O384"/>
  <c r="N384"/>
  <c r="M384"/>
  <c r="L384"/>
  <c r="K384"/>
  <c r="J384"/>
  <c r="I384"/>
  <c r="H384"/>
  <c r="G384"/>
  <c r="F384"/>
  <c r="E384"/>
  <c r="D384"/>
  <c r="C384"/>
  <c r="B384"/>
  <c r="A384"/>
  <c r="CJ383"/>
  <c r="CI383"/>
  <c r="CH383"/>
  <c r="CG383"/>
  <c r="CF383"/>
  <c r="CE383"/>
  <c r="CD383"/>
  <c r="CC383"/>
  <c r="CB383"/>
  <c r="CA383"/>
  <c r="BZ383"/>
  <c r="BY383"/>
  <c r="BX383"/>
  <c r="BW383"/>
  <c r="BV383"/>
  <c r="BU383"/>
  <c r="BT383"/>
  <c r="BS383"/>
  <c r="BR383"/>
  <c r="BQ383"/>
  <c r="BP383"/>
  <c r="BO383"/>
  <c r="BN383"/>
  <c r="BM383"/>
  <c r="BL383"/>
  <c r="BK383"/>
  <c r="BJ383"/>
  <c r="BI383"/>
  <c r="BH383"/>
  <c r="BG383"/>
  <c r="BF383"/>
  <c r="BE383"/>
  <c r="BD383"/>
  <c r="BC383"/>
  <c r="BB383"/>
  <c r="BA383"/>
  <c r="AZ383"/>
  <c r="AY383"/>
  <c r="AX383"/>
  <c r="AW383"/>
  <c r="AV383"/>
  <c r="AU383"/>
  <c r="AT383"/>
  <c r="AS383"/>
  <c r="AR383"/>
  <c r="AQ383"/>
  <c r="AP383"/>
  <c r="AO383"/>
  <c r="AN383"/>
  <c r="AM383"/>
  <c r="AL383"/>
  <c r="AK383"/>
  <c r="AJ383"/>
  <c r="AI383"/>
  <c r="AH383"/>
  <c r="AG383"/>
  <c r="AF383"/>
  <c r="AE383"/>
  <c r="AD383"/>
  <c r="AC383"/>
  <c r="AB383"/>
  <c r="AA383"/>
  <c r="Z383"/>
  <c r="Y383"/>
  <c r="X383"/>
  <c r="W383"/>
  <c r="V383"/>
  <c r="U383"/>
  <c r="T383"/>
  <c r="S383"/>
  <c r="R383"/>
  <c r="Q383"/>
  <c r="P383"/>
  <c r="O383"/>
  <c r="N383"/>
  <c r="M383"/>
  <c r="L383"/>
  <c r="K383"/>
  <c r="J383"/>
  <c r="I383"/>
  <c r="H383"/>
  <c r="G383"/>
  <c r="F383"/>
  <c r="E383"/>
  <c r="D383"/>
  <c r="C383"/>
  <c r="B383"/>
  <c r="A383"/>
  <c r="CJ382"/>
  <c r="CI382"/>
  <c r="CH382"/>
  <c r="CG382"/>
  <c r="CF382"/>
  <c r="CE382"/>
  <c r="CD382"/>
  <c r="CC382"/>
  <c r="CB382"/>
  <c r="CA382"/>
  <c r="BZ382"/>
  <c r="BY382"/>
  <c r="BX382"/>
  <c r="BW382"/>
  <c r="BV382"/>
  <c r="BU382"/>
  <c r="BT382"/>
  <c r="BS382"/>
  <c r="BR382"/>
  <c r="BQ382"/>
  <c r="BP382"/>
  <c r="BO382"/>
  <c r="BN382"/>
  <c r="BM382"/>
  <c r="BL382"/>
  <c r="BK382"/>
  <c r="BJ382"/>
  <c r="BI382"/>
  <c r="BH382"/>
  <c r="BG382"/>
  <c r="BF382"/>
  <c r="BE382"/>
  <c r="BD382"/>
  <c r="BC382"/>
  <c r="BB382"/>
  <c r="BA382"/>
  <c r="AZ382"/>
  <c r="AY382"/>
  <c r="AX382"/>
  <c r="AW382"/>
  <c r="AV382"/>
  <c r="AU382"/>
  <c r="AT382"/>
  <c r="AS382"/>
  <c r="AR382"/>
  <c r="AQ382"/>
  <c r="AP382"/>
  <c r="AO382"/>
  <c r="AN382"/>
  <c r="AM382"/>
  <c r="AL382"/>
  <c r="AK382"/>
  <c r="AJ382"/>
  <c r="AI382"/>
  <c r="AH382"/>
  <c r="AG382"/>
  <c r="AF382"/>
  <c r="AE382"/>
  <c r="AD382"/>
  <c r="AC382"/>
  <c r="AB382"/>
  <c r="AA382"/>
  <c r="Z382"/>
  <c r="Y382"/>
  <c r="X382"/>
  <c r="W382"/>
  <c r="V382"/>
  <c r="U382"/>
  <c r="T382"/>
  <c r="S382"/>
  <c r="R382"/>
  <c r="Q382"/>
  <c r="P382"/>
  <c r="O382"/>
  <c r="N382"/>
  <c r="M382"/>
  <c r="L382"/>
  <c r="K382"/>
  <c r="J382"/>
  <c r="I382"/>
  <c r="H382"/>
  <c r="G382"/>
  <c r="F382"/>
  <c r="E382"/>
  <c r="D382"/>
  <c r="C382"/>
  <c r="B382"/>
  <c r="A382"/>
  <c r="CJ381"/>
  <c r="CI381"/>
  <c r="CH381"/>
  <c r="CG381"/>
  <c r="CF381"/>
  <c r="CE381"/>
  <c r="CD381"/>
  <c r="CC381"/>
  <c r="CB381"/>
  <c r="CA381"/>
  <c r="BZ381"/>
  <c r="BY381"/>
  <c r="BX381"/>
  <c r="BW381"/>
  <c r="BV381"/>
  <c r="BU381"/>
  <c r="BT381"/>
  <c r="BS381"/>
  <c r="BR381"/>
  <c r="BQ381"/>
  <c r="BP381"/>
  <c r="BO381"/>
  <c r="BN381"/>
  <c r="BM381"/>
  <c r="BL381"/>
  <c r="BK381"/>
  <c r="BJ381"/>
  <c r="BI381"/>
  <c r="BH381"/>
  <c r="BG381"/>
  <c r="BF381"/>
  <c r="BE381"/>
  <c r="BD381"/>
  <c r="BC381"/>
  <c r="BB381"/>
  <c r="BA381"/>
  <c r="AZ381"/>
  <c r="AY381"/>
  <c r="AX381"/>
  <c r="AW381"/>
  <c r="AV381"/>
  <c r="AU381"/>
  <c r="AT381"/>
  <c r="AS381"/>
  <c r="AR381"/>
  <c r="AQ381"/>
  <c r="AP381"/>
  <c r="AO381"/>
  <c r="AN381"/>
  <c r="AM381"/>
  <c r="AL381"/>
  <c r="AK381"/>
  <c r="AJ381"/>
  <c r="AI381"/>
  <c r="AH381"/>
  <c r="AG381"/>
  <c r="AF381"/>
  <c r="AE381"/>
  <c r="AD381"/>
  <c r="AC381"/>
  <c r="AB381"/>
  <c r="AA381"/>
  <c r="Z381"/>
  <c r="Y381"/>
  <c r="X381"/>
  <c r="W381"/>
  <c r="V381"/>
  <c r="U381"/>
  <c r="T381"/>
  <c r="S381"/>
  <c r="R381"/>
  <c r="Q381"/>
  <c r="P381"/>
  <c r="O381"/>
  <c r="N381"/>
  <c r="M381"/>
  <c r="L381"/>
  <c r="K381"/>
  <c r="J381"/>
  <c r="I381"/>
  <c r="H381"/>
  <c r="G381"/>
  <c r="F381"/>
  <c r="E381"/>
  <c r="D381"/>
  <c r="C381"/>
  <c r="B381"/>
  <c r="A381"/>
  <c r="CJ380"/>
  <c r="CI380"/>
  <c r="CH380"/>
  <c r="CG380"/>
  <c r="CF380"/>
  <c r="CE380"/>
  <c r="CD380"/>
  <c r="CC380"/>
  <c r="CB380"/>
  <c r="CA380"/>
  <c r="BZ380"/>
  <c r="BY380"/>
  <c r="BX380"/>
  <c r="BW380"/>
  <c r="BV380"/>
  <c r="BU380"/>
  <c r="BT380"/>
  <c r="BS380"/>
  <c r="BR380"/>
  <c r="BQ380"/>
  <c r="BP380"/>
  <c r="BO380"/>
  <c r="BN380"/>
  <c r="BM380"/>
  <c r="BL380"/>
  <c r="BK380"/>
  <c r="BJ380"/>
  <c r="BI380"/>
  <c r="BH380"/>
  <c r="BG380"/>
  <c r="BF380"/>
  <c r="BE380"/>
  <c r="BD380"/>
  <c r="BC380"/>
  <c r="BB380"/>
  <c r="BA380"/>
  <c r="AZ380"/>
  <c r="AY380"/>
  <c r="AX380"/>
  <c r="AW380"/>
  <c r="AV380"/>
  <c r="AU380"/>
  <c r="AT380"/>
  <c r="AS380"/>
  <c r="AR380"/>
  <c r="AQ380"/>
  <c r="AP380"/>
  <c r="AO380"/>
  <c r="AN380"/>
  <c r="AM380"/>
  <c r="AL380"/>
  <c r="AK380"/>
  <c r="AJ380"/>
  <c r="AI380"/>
  <c r="AH380"/>
  <c r="AG380"/>
  <c r="AF380"/>
  <c r="AE380"/>
  <c r="AD380"/>
  <c r="AC380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K380"/>
  <c r="J380"/>
  <c r="I380"/>
  <c r="H380"/>
  <c r="G380"/>
  <c r="F380"/>
  <c r="E380"/>
  <c r="D380"/>
  <c r="C380"/>
  <c r="B380"/>
  <c r="A380"/>
  <c r="CJ379"/>
  <c r="CI379"/>
  <c r="CH379"/>
  <c r="CG379"/>
  <c r="CF379"/>
  <c r="CE379"/>
  <c r="CD379"/>
  <c r="CC379"/>
  <c r="CB379"/>
  <c r="CA379"/>
  <c r="BZ379"/>
  <c r="BY379"/>
  <c r="BX379"/>
  <c r="BW379"/>
  <c r="BV379"/>
  <c r="BU379"/>
  <c r="BT379"/>
  <c r="BS379"/>
  <c r="BR379"/>
  <c r="BQ379"/>
  <c r="BP379"/>
  <c r="BO379"/>
  <c r="BN379"/>
  <c r="BM379"/>
  <c r="BL379"/>
  <c r="BK379"/>
  <c r="BJ379"/>
  <c r="BI379"/>
  <c r="BH379"/>
  <c r="BG379"/>
  <c r="BF379"/>
  <c r="BE379"/>
  <c r="BD379"/>
  <c r="BC379"/>
  <c r="BB379"/>
  <c r="BA379"/>
  <c r="AZ379"/>
  <c r="AY379"/>
  <c r="AX379"/>
  <c r="AW379"/>
  <c r="AV379"/>
  <c r="AU379"/>
  <c r="AT379"/>
  <c r="AS379"/>
  <c r="AR379"/>
  <c r="AQ379"/>
  <c r="AP379"/>
  <c r="AO379"/>
  <c r="AN379"/>
  <c r="AM379"/>
  <c r="AL379"/>
  <c r="AK379"/>
  <c r="AJ379"/>
  <c r="AI379"/>
  <c r="AH379"/>
  <c r="AG379"/>
  <c r="AF379"/>
  <c r="AE379"/>
  <c r="AD379"/>
  <c r="AC379"/>
  <c r="AB379"/>
  <c r="AA379"/>
  <c r="Z379"/>
  <c r="Y379"/>
  <c r="X379"/>
  <c r="W379"/>
  <c r="V379"/>
  <c r="U379"/>
  <c r="T379"/>
  <c r="S379"/>
  <c r="R379"/>
  <c r="Q379"/>
  <c r="P379"/>
  <c r="O379"/>
  <c r="N379"/>
  <c r="M379"/>
  <c r="L379"/>
  <c r="K379"/>
  <c r="J379"/>
  <c r="I379"/>
  <c r="H379"/>
  <c r="G379"/>
  <c r="F379"/>
  <c r="E379"/>
  <c r="D379"/>
  <c r="C379"/>
  <c r="B379"/>
  <c r="A379"/>
  <c r="CJ378"/>
  <c r="CI378"/>
  <c r="CH378"/>
  <c r="CG378"/>
  <c r="CF378"/>
  <c r="CE378"/>
  <c r="CD378"/>
  <c r="CC378"/>
  <c r="CB378"/>
  <c r="CA378"/>
  <c r="BZ378"/>
  <c r="BY378"/>
  <c r="BX378"/>
  <c r="BW378"/>
  <c r="BV378"/>
  <c r="BU378"/>
  <c r="BT378"/>
  <c r="BS378"/>
  <c r="BR378"/>
  <c r="BQ378"/>
  <c r="BP378"/>
  <c r="BO378"/>
  <c r="BN378"/>
  <c r="BM378"/>
  <c r="BL378"/>
  <c r="BK378"/>
  <c r="BJ378"/>
  <c r="BI378"/>
  <c r="BH378"/>
  <c r="BG378"/>
  <c r="BF378"/>
  <c r="BE378"/>
  <c r="BD378"/>
  <c r="BC378"/>
  <c r="BB378"/>
  <c r="BA378"/>
  <c r="AZ378"/>
  <c r="AY378"/>
  <c r="AX378"/>
  <c r="AW378"/>
  <c r="AV378"/>
  <c r="AU378"/>
  <c r="AT378"/>
  <c r="AS378"/>
  <c r="AR378"/>
  <c r="AQ378"/>
  <c r="AP378"/>
  <c r="AO378"/>
  <c r="AN378"/>
  <c r="AM378"/>
  <c r="AL378"/>
  <c r="AK378"/>
  <c r="AJ378"/>
  <c r="AI378"/>
  <c r="AH378"/>
  <c r="AG378"/>
  <c r="AF378"/>
  <c r="AE378"/>
  <c r="AD378"/>
  <c r="AC378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D378"/>
  <c r="C378"/>
  <c r="B378"/>
  <c r="A378"/>
  <c r="CJ377"/>
  <c r="CI377"/>
  <c r="CH377"/>
  <c r="CG377"/>
  <c r="CF377"/>
  <c r="CE377"/>
  <c r="CD377"/>
  <c r="CC377"/>
  <c r="CB377"/>
  <c r="CA377"/>
  <c r="BZ377"/>
  <c r="BY377"/>
  <c r="BX377"/>
  <c r="BW377"/>
  <c r="BV377"/>
  <c r="BU377"/>
  <c r="BT377"/>
  <c r="BS377"/>
  <c r="BR377"/>
  <c r="BQ377"/>
  <c r="BP377"/>
  <c r="BO377"/>
  <c r="BN377"/>
  <c r="BM377"/>
  <c r="BL377"/>
  <c r="BK377"/>
  <c r="BJ377"/>
  <c r="BI377"/>
  <c r="BH377"/>
  <c r="BG377"/>
  <c r="BF377"/>
  <c r="BE377"/>
  <c r="BD377"/>
  <c r="BC377"/>
  <c r="BB377"/>
  <c r="BA377"/>
  <c r="AZ377"/>
  <c r="AY377"/>
  <c r="AX377"/>
  <c r="AW377"/>
  <c r="AV377"/>
  <c r="AU377"/>
  <c r="AT377"/>
  <c r="AS377"/>
  <c r="AR377"/>
  <c r="AQ377"/>
  <c r="AP377"/>
  <c r="AO377"/>
  <c r="AN377"/>
  <c r="AM377"/>
  <c r="AL377"/>
  <c r="AK377"/>
  <c r="AJ377"/>
  <c r="AI377"/>
  <c r="AH377"/>
  <c r="AG377"/>
  <c r="AF377"/>
  <c r="AE377"/>
  <c r="AD377"/>
  <c r="AC377"/>
  <c r="AB377"/>
  <c r="AA377"/>
  <c r="Z377"/>
  <c r="Y377"/>
  <c r="X377"/>
  <c r="W377"/>
  <c r="V377"/>
  <c r="U377"/>
  <c r="T377"/>
  <c r="S377"/>
  <c r="R377"/>
  <c r="Q377"/>
  <c r="P377"/>
  <c r="O377"/>
  <c r="N377"/>
  <c r="M377"/>
  <c r="L377"/>
  <c r="K377"/>
  <c r="J377"/>
  <c r="I377"/>
  <c r="H377"/>
  <c r="G377"/>
  <c r="F377"/>
  <c r="E377"/>
  <c r="D377"/>
  <c r="C377"/>
  <c r="B377"/>
  <c r="A377"/>
  <c r="CJ376"/>
  <c r="CI376"/>
  <c r="CH376"/>
  <c r="CG376"/>
  <c r="CF376"/>
  <c r="CE376"/>
  <c r="CD376"/>
  <c r="CC376"/>
  <c r="CB376"/>
  <c r="CA376"/>
  <c r="BZ376"/>
  <c r="BY376"/>
  <c r="BX376"/>
  <c r="BW376"/>
  <c r="BV376"/>
  <c r="BU376"/>
  <c r="BT376"/>
  <c r="BS376"/>
  <c r="BR376"/>
  <c r="BQ376"/>
  <c r="BP376"/>
  <c r="BO376"/>
  <c r="BN376"/>
  <c r="BM376"/>
  <c r="BL376"/>
  <c r="BK376"/>
  <c r="BJ376"/>
  <c r="BI376"/>
  <c r="BH376"/>
  <c r="BG376"/>
  <c r="BF376"/>
  <c r="BE376"/>
  <c r="BD376"/>
  <c r="BC376"/>
  <c r="BB376"/>
  <c r="BA376"/>
  <c r="AZ376"/>
  <c r="AY376"/>
  <c r="AX376"/>
  <c r="AW376"/>
  <c r="AV376"/>
  <c r="AU376"/>
  <c r="AT376"/>
  <c r="AS376"/>
  <c r="AR376"/>
  <c r="AQ376"/>
  <c r="AP376"/>
  <c r="AO376"/>
  <c r="AN376"/>
  <c r="AM376"/>
  <c r="AL376"/>
  <c r="AK376"/>
  <c r="AJ376"/>
  <c r="AI376"/>
  <c r="AH376"/>
  <c r="AG376"/>
  <c r="AF376"/>
  <c r="AE376"/>
  <c r="AD376"/>
  <c r="AC376"/>
  <c r="AB376"/>
  <c r="AA376"/>
  <c r="Z376"/>
  <c r="Y376"/>
  <c r="X376"/>
  <c r="W376"/>
  <c r="V376"/>
  <c r="U376"/>
  <c r="T376"/>
  <c r="S376"/>
  <c r="R376"/>
  <c r="Q376"/>
  <c r="P376"/>
  <c r="O376"/>
  <c r="N376"/>
  <c r="M376"/>
  <c r="L376"/>
  <c r="K376"/>
  <c r="J376"/>
  <c r="I376"/>
  <c r="H376"/>
  <c r="G376"/>
  <c r="F376"/>
  <c r="E376"/>
  <c r="D376"/>
  <c r="C376"/>
  <c r="B376"/>
  <c r="A376"/>
  <c r="CJ375"/>
  <c r="CI375"/>
  <c r="CH375"/>
  <c r="CG375"/>
  <c r="CF375"/>
  <c r="CE375"/>
  <c r="CD375"/>
  <c r="CC375"/>
  <c r="CB375"/>
  <c r="CA375"/>
  <c r="BZ375"/>
  <c r="BY375"/>
  <c r="BX375"/>
  <c r="BW375"/>
  <c r="BV375"/>
  <c r="BU375"/>
  <c r="BT375"/>
  <c r="BS375"/>
  <c r="BR375"/>
  <c r="BQ375"/>
  <c r="BP375"/>
  <c r="BO375"/>
  <c r="BN375"/>
  <c r="BM375"/>
  <c r="BL375"/>
  <c r="BK375"/>
  <c r="BJ375"/>
  <c r="BI375"/>
  <c r="BH375"/>
  <c r="BG375"/>
  <c r="BF375"/>
  <c r="BE375"/>
  <c r="BD375"/>
  <c r="BC375"/>
  <c r="BB375"/>
  <c r="BA375"/>
  <c r="AZ375"/>
  <c r="AY375"/>
  <c r="AX375"/>
  <c r="AW375"/>
  <c r="AV375"/>
  <c r="AU375"/>
  <c r="AT375"/>
  <c r="AS375"/>
  <c r="AR375"/>
  <c r="AQ375"/>
  <c r="AP375"/>
  <c r="AO375"/>
  <c r="AN375"/>
  <c r="AM375"/>
  <c r="AL375"/>
  <c r="AK375"/>
  <c r="AJ375"/>
  <c r="AI375"/>
  <c r="AH375"/>
  <c r="AG375"/>
  <c r="AF375"/>
  <c r="AE375"/>
  <c r="AD375"/>
  <c r="AC375"/>
  <c r="AB375"/>
  <c r="AA375"/>
  <c r="Z375"/>
  <c r="Y375"/>
  <c r="X375"/>
  <c r="W375"/>
  <c r="V375"/>
  <c r="U375"/>
  <c r="T375"/>
  <c r="S375"/>
  <c r="R375"/>
  <c r="Q375"/>
  <c r="P375"/>
  <c r="O375"/>
  <c r="N375"/>
  <c r="M375"/>
  <c r="L375"/>
  <c r="K375"/>
  <c r="J375"/>
  <c r="I375"/>
  <c r="H375"/>
  <c r="G375"/>
  <c r="F375"/>
  <c r="E375"/>
  <c r="D375"/>
  <c r="C375"/>
  <c r="B375"/>
  <c r="A375"/>
  <c r="CJ374"/>
  <c r="CI374"/>
  <c r="CH374"/>
  <c r="CG374"/>
  <c r="CF374"/>
  <c r="CE374"/>
  <c r="CD374"/>
  <c r="CC374"/>
  <c r="CB374"/>
  <c r="CA374"/>
  <c r="BZ374"/>
  <c r="BY374"/>
  <c r="BX374"/>
  <c r="BW374"/>
  <c r="BV374"/>
  <c r="BU374"/>
  <c r="BT374"/>
  <c r="BS374"/>
  <c r="BR374"/>
  <c r="BQ374"/>
  <c r="BP374"/>
  <c r="BO374"/>
  <c r="BN374"/>
  <c r="BM374"/>
  <c r="BL374"/>
  <c r="BK374"/>
  <c r="BJ374"/>
  <c r="BI374"/>
  <c r="BH374"/>
  <c r="BG374"/>
  <c r="BF374"/>
  <c r="BE374"/>
  <c r="BD374"/>
  <c r="BC374"/>
  <c r="BB374"/>
  <c r="BA374"/>
  <c r="AZ374"/>
  <c r="AY374"/>
  <c r="AX374"/>
  <c r="AW374"/>
  <c r="AV374"/>
  <c r="AU374"/>
  <c r="AT374"/>
  <c r="AS374"/>
  <c r="AR374"/>
  <c r="AQ374"/>
  <c r="AP374"/>
  <c r="AO374"/>
  <c r="AN374"/>
  <c r="AM374"/>
  <c r="AL374"/>
  <c r="AK374"/>
  <c r="AJ374"/>
  <c r="AI374"/>
  <c r="AH374"/>
  <c r="AG374"/>
  <c r="AF374"/>
  <c r="AE374"/>
  <c r="AD374"/>
  <c r="AC374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J374"/>
  <c r="I374"/>
  <c r="H374"/>
  <c r="G374"/>
  <c r="F374"/>
  <c r="E374"/>
  <c r="D374"/>
  <c r="C374"/>
  <c r="B374"/>
  <c r="A374"/>
  <c r="CJ373"/>
  <c r="CI373"/>
  <c r="CH373"/>
  <c r="CG373"/>
  <c r="CF373"/>
  <c r="CE373"/>
  <c r="CD373"/>
  <c r="CC373"/>
  <c r="CB373"/>
  <c r="CA373"/>
  <c r="BZ373"/>
  <c r="BY373"/>
  <c r="BX373"/>
  <c r="BW373"/>
  <c r="BV373"/>
  <c r="BU373"/>
  <c r="BT373"/>
  <c r="BS373"/>
  <c r="BR373"/>
  <c r="BQ373"/>
  <c r="BP373"/>
  <c r="BO373"/>
  <c r="BN373"/>
  <c r="BM373"/>
  <c r="BL373"/>
  <c r="BK373"/>
  <c r="BJ373"/>
  <c r="BI373"/>
  <c r="BH373"/>
  <c r="BG373"/>
  <c r="BF373"/>
  <c r="BE373"/>
  <c r="BD373"/>
  <c r="BC373"/>
  <c r="BB373"/>
  <c r="BA373"/>
  <c r="AZ373"/>
  <c r="AY373"/>
  <c r="AX373"/>
  <c r="AW373"/>
  <c r="AV373"/>
  <c r="AU373"/>
  <c r="AT373"/>
  <c r="AS373"/>
  <c r="AR373"/>
  <c r="AQ373"/>
  <c r="AP373"/>
  <c r="AO373"/>
  <c r="AN373"/>
  <c r="AM373"/>
  <c r="AL373"/>
  <c r="AK373"/>
  <c r="AJ373"/>
  <c r="AI373"/>
  <c r="AH373"/>
  <c r="AG373"/>
  <c r="AF373"/>
  <c r="AE373"/>
  <c r="AD373"/>
  <c r="AC373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K373"/>
  <c r="J373"/>
  <c r="I373"/>
  <c r="H373"/>
  <c r="G373"/>
  <c r="F373"/>
  <c r="E373"/>
  <c r="D373"/>
  <c r="C373"/>
  <c r="B373"/>
  <c r="A373"/>
  <c r="CJ372"/>
  <c r="CI372"/>
  <c r="CH372"/>
  <c r="CG372"/>
  <c r="CF372"/>
  <c r="CE372"/>
  <c r="CD372"/>
  <c r="CC372"/>
  <c r="CB372"/>
  <c r="CA372"/>
  <c r="BZ372"/>
  <c r="BY372"/>
  <c r="BX372"/>
  <c r="BW372"/>
  <c r="BV372"/>
  <c r="BU372"/>
  <c r="BT372"/>
  <c r="BS372"/>
  <c r="BR372"/>
  <c r="BQ372"/>
  <c r="BP372"/>
  <c r="BO372"/>
  <c r="BN372"/>
  <c r="BM372"/>
  <c r="BL372"/>
  <c r="BK372"/>
  <c r="BJ372"/>
  <c r="BI372"/>
  <c r="BH372"/>
  <c r="BG372"/>
  <c r="BF372"/>
  <c r="BE372"/>
  <c r="BD372"/>
  <c r="BC372"/>
  <c r="BB372"/>
  <c r="BA372"/>
  <c r="AZ372"/>
  <c r="AY372"/>
  <c r="AX372"/>
  <c r="AW372"/>
  <c r="AV372"/>
  <c r="AU372"/>
  <c r="AT372"/>
  <c r="AS372"/>
  <c r="AR372"/>
  <c r="AQ372"/>
  <c r="AP372"/>
  <c r="AO372"/>
  <c r="AN372"/>
  <c r="AM372"/>
  <c r="AL372"/>
  <c r="AK372"/>
  <c r="AJ372"/>
  <c r="AI372"/>
  <c r="AH372"/>
  <c r="AG372"/>
  <c r="AF372"/>
  <c r="AE372"/>
  <c r="AD372"/>
  <c r="AC372"/>
  <c r="AB372"/>
  <c r="AA372"/>
  <c r="Z372"/>
  <c r="Y372"/>
  <c r="X372"/>
  <c r="W372"/>
  <c r="V372"/>
  <c r="U372"/>
  <c r="T372"/>
  <c r="S372"/>
  <c r="R372"/>
  <c r="Q372"/>
  <c r="P372"/>
  <c r="O372"/>
  <c r="N372"/>
  <c r="M372"/>
  <c r="L372"/>
  <c r="K372"/>
  <c r="J372"/>
  <c r="I372"/>
  <c r="H372"/>
  <c r="G372"/>
  <c r="F372"/>
  <c r="E372"/>
  <c r="D372"/>
  <c r="C372"/>
  <c r="B372"/>
  <c r="A372"/>
  <c r="CJ371"/>
  <c r="CI371"/>
  <c r="CH371"/>
  <c r="CG371"/>
  <c r="CF371"/>
  <c r="CE371"/>
  <c r="CD371"/>
  <c r="CC371"/>
  <c r="CB371"/>
  <c r="CA371"/>
  <c r="BZ371"/>
  <c r="BY371"/>
  <c r="BX371"/>
  <c r="BW371"/>
  <c r="BV371"/>
  <c r="BU371"/>
  <c r="BT371"/>
  <c r="BS371"/>
  <c r="BR371"/>
  <c r="BQ371"/>
  <c r="BP371"/>
  <c r="BO371"/>
  <c r="BN371"/>
  <c r="BM371"/>
  <c r="BL371"/>
  <c r="BK371"/>
  <c r="BJ371"/>
  <c r="BI371"/>
  <c r="BH371"/>
  <c r="BG371"/>
  <c r="BF371"/>
  <c r="BE371"/>
  <c r="BD371"/>
  <c r="BC371"/>
  <c r="BB371"/>
  <c r="BA371"/>
  <c r="AZ371"/>
  <c r="AY371"/>
  <c r="AX371"/>
  <c r="AW371"/>
  <c r="AV371"/>
  <c r="AU371"/>
  <c r="AT371"/>
  <c r="AS371"/>
  <c r="AR371"/>
  <c r="AQ371"/>
  <c r="AP371"/>
  <c r="AO371"/>
  <c r="AN371"/>
  <c r="AM371"/>
  <c r="AL371"/>
  <c r="AK371"/>
  <c r="AJ371"/>
  <c r="AI371"/>
  <c r="AH371"/>
  <c r="AG371"/>
  <c r="AF371"/>
  <c r="AE371"/>
  <c r="AD371"/>
  <c r="AC371"/>
  <c r="AB371"/>
  <c r="AA371"/>
  <c r="Z371"/>
  <c r="Y371"/>
  <c r="X371"/>
  <c r="W371"/>
  <c r="V371"/>
  <c r="U371"/>
  <c r="T371"/>
  <c r="S371"/>
  <c r="R371"/>
  <c r="Q371"/>
  <c r="P371"/>
  <c r="O371"/>
  <c r="N371"/>
  <c r="M371"/>
  <c r="L371"/>
  <c r="K371"/>
  <c r="J371"/>
  <c r="I371"/>
  <c r="H371"/>
  <c r="G371"/>
  <c r="F371"/>
  <c r="E371"/>
  <c r="D371"/>
  <c r="C371"/>
  <c r="B371"/>
  <c r="A371"/>
  <c r="CJ370"/>
  <c r="CI370"/>
  <c r="CH370"/>
  <c r="CG370"/>
  <c r="CF370"/>
  <c r="CE370"/>
  <c r="CD370"/>
  <c r="CC370"/>
  <c r="CB370"/>
  <c r="CA370"/>
  <c r="BZ370"/>
  <c r="BY370"/>
  <c r="BX370"/>
  <c r="BW370"/>
  <c r="BV370"/>
  <c r="BU370"/>
  <c r="BT370"/>
  <c r="BS370"/>
  <c r="BR370"/>
  <c r="BQ370"/>
  <c r="BP370"/>
  <c r="BO370"/>
  <c r="BN370"/>
  <c r="BM370"/>
  <c r="BL370"/>
  <c r="BK370"/>
  <c r="BJ370"/>
  <c r="BI370"/>
  <c r="BH370"/>
  <c r="BG370"/>
  <c r="BF370"/>
  <c r="BE370"/>
  <c r="BD370"/>
  <c r="BC370"/>
  <c r="BB370"/>
  <c r="BA370"/>
  <c r="AZ370"/>
  <c r="AY370"/>
  <c r="AX370"/>
  <c r="AW370"/>
  <c r="AV370"/>
  <c r="AU370"/>
  <c r="AT370"/>
  <c r="AS370"/>
  <c r="AR370"/>
  <c r="AQ370"/>
  <c r="AP370"/>
  <c r="AO370"/>
  <c r="AN370"/>
  <c r="AM370"/>
  <c r="AL370"/>
  <c r="AK370"/>
  <c r="AJ370"/>
  <c r="AI370"/>
  <c r="AH370"/>
  <c r="AG370"/>
  <c r="AF370"/>
  <c r="AE370"/>
  <c r="AD370"/>
  <c r="AC370"/>
  <c r="AB370"/>
  <c r="AA370"/>
  <c r="Z370"/>
  <c r="Y370"/>
  <c r="X370"/>
  <c r="W370"/>
  <c r="V370"/>
  <c r="U370"/>
  <c r="T370"/>
  <c r="S370"/>
  <c r="R370"/>
  <c r="Q370"/>
  <c r="P370"/>
  <c r="O370"/>
  <c r="N370"/>
  <c r="M370"/>
  <c r="L370"/>
  <c r="K370"/>
  <c r="J370"/>
  <c r="I370"/>
  <c r="H370"/>
  <c r="G370"/>
  <c r="F370"/>
  <c r="E370"/>
  <c r="D370"/>
  <c r="C370"/>
  <c r="B370"/>
  <c r="A370"/>
  <c r="CJ369"/>
  <c r="CI369"/>
  <c r="CH369"/>
  <c r="CG369"/>
  <c r="CF369"/>
  <c r="CE369"/>
  <c r="CD369"/>
  <c r="CC369"/>
  <c r="CB369"/>
  <c r="CA369"/>
  <c r="BZ369"/>
  <c r="BY369"/>
  <c r="BX369"/>
  <c r="BW369"/>
  <c r="BV369"/>
  <c r="BU369"/>
  <c r="BT369"/>
  <c r="BS369"/>
  <c r="BR369"/>
  <c r="BQ369"/>
  <c r="BP369"/>
  <c r="BO369"/>
  <c r="BN369"/>
  <c r="BM369"/>
  <c r="BL369"/>
  <c r="BK369"/>
  <c r="BJ369"/>
  <c r="BI369"/>
  <c r="BH369"/>
  <c r="BG369"/>
  <c r="BF369"/>
  <c r="BE369"/>
  <c r="BD369"/>
  <c r="BC369"/>
  <c r="BB369"/>
  <c r="BA369"/>
  <c r="AZ369"/>
  <c r="AY369"/>
  <c r="AX369"/>
  <c r="AW369"/>
  <c r="AV369"/>
  <c r="AU369"/>
  <c r="AT369"/>
  <c r="AS369"/>
  <c r="AR369"/>
  <c r="AQ369"/>
  <c r="AP369"/>
  <c r="AO369"/>
  <c r="AN369"/>
  <c r="AM369"/>
  <c r="AL369"/>
  <c r="AK369"/>
  <c r="AJ369"/>
  <c r="AI369"/>
  <c r="AH369"/>
  <c r="AG369"/>
  <c r="AF369"/>
  <c r="AE369"/>
  <c r="AD369"/>
  <c r="AC369"/>
  <c r="AB369"/>
  <c r="AA369"/>
  <c r="Z369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H369"/>
  <c r="G369"/>
  <c r="F369"/>
  <c r="E369"/>
  <c r="D369"/>
  <c r="C369"/>
  <c r="B369"/>
  <c r="A369"/>
  <c r="CJ368"/>
  <c r="CI368"/>
  <c r="CH368"/>
  <c r="CG368"/>
  <c r="CF368"/>
  <c r="CE368"/>
  <c r="CD368"/>
  <c r="CC368"/>
  <c r="CB368"/>
  <c r="CA368"/>
  <c r="BZ368"/>
  <c r="BY368"/>
  <c r="BX368"/>
  <c r="BW368"/>
  <c r="BV368"/>
  <c r="BU368"/>
  <c r="BT368"/>
  <c r="BS368"/>
  <c r="BR368"/>
  <c r="BQ368"/>
  <c r="BP368"/>
  <c r="BO368"/>
  <c r="BN368"/>
  <c r="BM368"/>
  <c r="BL368"/>
  <c r="BK368"/>
  <c r="BJ368"/>
  <c r="BI368"/>
  <c r="BH368"/>
  <c r="BG368"/>
  <c r="BF368"/>
  <c r="BE368"/>
  <c r="BD368"/>
  <c r="BC368"/>
  <c r="BB368"/>
  <c r="BA368"/>
  <c r="AZ368"/>
  <c r="AY368"/>
  <c r="AX368"/>
  <c r="AW368"/>
  <c r="AV368"/>
  <c r="AU368"/>
  <c r="AT368"/>
  <c r="AS368"/>
  <c r="AR368"/>
  <c r="AQ368"/>
  <c r="AP368"/>
  <c r="AO368"/>
  <c r="AN368"/>
  <c r="AM368"/>
  <c r="AL368"/>
  <c r="AK368"/>
  <c r="AJ368"/>
  <c r="AI368"/>
  <c r="AH368"/>
  <c r="AG368"/>
  <c r="AF368"/>
  <c r="AE368"/>
  <c r="AD368"/>
  <c r="AC368"/>
  <c r="AB368"/>
  <c r="AA368"/>
  <c r="Z368"/>
  <c r="Y368"/>
  <c r="X368"/>
  <c r="W368"/>
  <c r="V368"/>
  <c r="U368"/>
  <c r="T368"/>
  <c r="S368"/>
  <c r="R368"/>
  <c r="Q368"/>
  <c r="P368"/>
  <c r="O368"/>
  <c r="N368"/>
  <c r="M368"/>
  <c r="L368"/>
  <c r="K368"/>
  <c r="J368"/>
  <c r="I368"/>
  <c r="H368"/>
  <c r="G368"/>
  <c r="F368"/>
  <c r="E368"/>
  <c r="D368"/>
  <c r="C368"/>
  <c r="B368"/>
  <c r="A368"/>
  <c r="CJ367"/>
  <c r="CI367"/>
  <c r="CH367"/>
  <c r="CG367"/>
  <c r="CF367"/>
  <c r="CE367"/>
  <c r="CD367"/>
  <c r="CC367"/>
  <c r="CB367"/>
  <c r="CA367"/>
  <c r="BZ367"/>
  <c r="BY367"/>
  <c r="BX367"/>
  <c r="BW367"/>
  <c r="BV367"/>
  <c r="BU367"/>
  <c r="BT367"/>
  <c r="BS367"/>
  <c r="BR367"/>
  <c r="BQ367"/>
  <c r="BP367"/>
  <c r="BO367"/>
  <c r="BN367"/>
  <c r="BM367"/>
  <c r="BL367"/>
  <c r="BK367"/>
  <c r="BJ367"/>
  <c r="BI367"/>
  <c r="BH367"/>
  <c r="BG367"/>
  <c r="BF367"/>
  <c r="BE367"/>
  <c r="BD367"/>
  <c r="BC367"/>
  <c r="BB367"/>
  <c r="BA367"/>
  <c r="AZ367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D367"/>
  <c r="C367"/>
  <c r="B367"/>
  <c r="A367"/>
  <c r="CJ366"/>
  <c r="CI366"/>
  <c r="CH366"/>
  <c r="CG366"/>
  <c r="CF366"/>
  <c r="CE366"/>
  <c r="CD366"/>
  <c r="CC366"/>
  <c r="CB366"/>
  <c r="CA366"/>
  <c r="BZ366"/>
  <c r="BY366"/>
  <c r="BX366"/>
  <c r="BW366"/>
  <c r="BV366"/>
  <c r="BU366"/>
  <c r="BT366"/>
  <c r="BS366"/>
  <c r="BR366"/>
  <c r="BQ366"/>
  <c r="BP366"/>
  <c r="BO366"/>
  <c r="BN366"/>
  <c r="BM366"/>
  <c r="BL366"/>
  <c r="BK366"/>
  <c r="BJ366"/>
  <c r="BI366"/>
  <c r="BH366"/>
  <c r="BG366"/>
  <c r="BF366"/>
  <c r="BE366"/>
  <c r="BD366"/>
  <c r="BC366"/>
  <c r="BB366"/>
  <c r="BA366"/>
  <c r="AZ366"/>
  <c r="AY366"/>
  <c r="AX366"/>
  <c r="AW366"/>
  <c r="AV366"/>
  <c r="AU366"/>
  <c r="AT366"/>
  <c r="AS366"/>
  <c r="AR366"/>
  <c r="AQ366"/>
  <c r="AP366"/>
  <c r="AO366"/>
  <c r="AN366"/>
  <c r="AM366"/>
  <c r="AL366"/>
  <c r="AK366"/>
  <c r="AJ366"/>
  <c r="AI366"/>
  <c r="AH366"/>
  <c r="AG366"/>
  <c r="AF366"/>
  <c r="AE366"/>
  <c r="AD366"/>
  <c r="AC366"/>
  <c r="AB366"/>
  <c r="AA366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H366"/>
  <c r="G366"/>
  <c r="F366"/>
  <c r="E366"/>
  <c r="D366"/>
  <c r="C366"/>
  <c r="B366"/>
  <c r="A366"/>
  <c r="CJ365"/>
  <c r="CI365"/>
  <c r="CH365"/>
  <c r="CG365"/>
  <c r="CF365"/>
  <c r="CE365"/>
  <c r="CD365"/>
  <c r="CC365"/>
  <c r="CB365"/>
  <c r="CA365"/>
  <c r="BZ365"/>
  <c r="BY365"/>
  <c r="BX365"/>
  <c r="BW365"/>
  <c r="BV365"/>
  <c r="BU365"/>
  <c r="BT365"/>
  <c r="BS365"/>
  <c r="BR365"/>
  <c r="BQ365"/>
  <c r="BP365"/>
  <c r="BO365"/>
  <c r="BN365"/>
  <c r="BM365"/>
  <c r="BL365"/>
  <c r="BK365"/>
  <c r="BJ365"/>
  <c r="BI365"/>
  <c r="BH365"/>
  <c r="BG365"/>
  <c r="BF365"/>
  <c r="BE365"/>
  <c r="BD365"/>
  <c r="BC365"/>
  <c r="BB365"/>
  <c r="BA365"/>
  <c r="AZ365"/>
  <c r="AY365"/>
  <c r="AX365"/>
  <c r="AW365"/>
  <c r="AV365"/>
  <c r="AU365"/>
  <c r="AT365"/>
  <c r="AS365"/>
  <c r="AR365"/>
  <c r="AQ365"/>
  <c r="AP365"/>
  <c r="AO365"/>
  <c r="AN365"/>
  <c r="AM365"/>
  <c r="AL365"/>
  <c r="AK365"/>
  <c r="AJ365"/>
  <c r="AI365"/>
  <c r="AH365"/>
  <c r="AG365"/>
  <c r="AF365"/>
  <c r="AE365"/>
  <c r="AD365"/>
  <c r="AC365"/>
  <c r="AB365"/>
  <c r="AA365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H365"/>
  <c r="G365"/>
  <c r="F365"/>
  <c r="E365"/>
  <c r="D365"/>
  <c r="C365"/>
  <c r="B365"/>
  <c r="A365"/>
  <c r="CJ364"/>
  <c r="CI364"/>
  <c r="CH364"/>
  <c r="CG364"/>
  <c r="CF364"/>
  <c r="CE364"/>
  <c r="CD364"/>
  <c r="CC364"/>
  <c r="CB364"/>
  <c r="CA364"/>
  <c r="BZ364"/>
  <c r="BY364"/>
  <c r="BX364"/>
  <c r="BW364"/>
  <c r="BV364"/>
  <c r="BU364"/>
  <c r="BT364"/>
  <c r="BS364"/>
  <c r="BR364"/>
  <c r="BQ364"/>
  <c r="BP364"/>
  <c r="BO364"/>
  <c r="BN364"/>
  <c r="BM364"/>
  <c r="BL364"/>
  <c r="BK364"/>
  <c r="BJ364"/>
  <c r="BI364"/>
  <c r="BH364"/>
  <c r="BG364"/>
  <c r="BF364"/>
  <c r="BE364"/>
  <c r="BD364"/>
  <c r="BC364"/>
  <c r="BB364"/>
  <c r="BA364"/>
  <c r="AZ364"/>
  <c r="AY364"/>
  <c r="AX364"/>
  <c r="AW364"/>
  <c r="AV364"/>
  <c r="AU364"/>
  <c r="AT364"/>
  <c r="AS364"/>
  <c r="AR364"/>
  <c r="AQ364"/>
  <c r="AP364"/>
  <c r="AO364"/>
  <c r="AN364"/>
  <c r="AM364"/>
  <c r="AL364"/>
  <c r="AK364"/>
  <c r="AJ364"/>
  <c r="AI364"/>
  <c r="AH364"/>
  <c r="AG364"/>
  <c r="AF364"/>
  <c r="AE364"/>
  <c r="AD364"/>
  <c r="AC364"/>
  <c r="AB364"/>
  <c r="AA364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H364"/>
  <c r="G364"/>
  <c r="F364"/>
  <c r="E364"/>
  <c r="D364"/>
  <c r="C364"/>
  <c r="B364"/>
  <c r="A364"/>
  <c r="CJ363"/>
  <c r="CI363"/>
  <c r="CH363"/>
  <c r="CG363"/>
  <c r="CF363"/>
  <c r="CE363"/>
  <c r="CD363"/>
  <c r="CC363"/>
  <c r="CB363"/>
  <c r="CA363"/>
  <c r="BZ363"/>
  <c r="BY363"/>
  <c r="BX363"/>
  <c r="BW363"/>
  <c r="BV363"/>
  <c r="BU363"/>
  <c r="BT363"/>
  <c r="BS363"/>
  <c r="BR363"/>
  <c r="BQ363"/>
  <c r="BP363"/>
  <c r="BO363"/>
  <c r="BN363"/>
  <c r="BM363"/>
  <c r="BL363"/>
  <c r="BK363"/>
  <c r="BJ363"/>
  <c r="BI363"/>
  <c r="BH363"/>
  <c r="BG363"/>
  <c r="BF363"/>
  <c r="BE363"/>
  <c r="BD363"/>
  <c r="BC363"/>
  <c r="BB363"/>
  <c r="BA363"/>
  <c r="AZ363"/>
  <c r="AY363"/>
  <c r="AX363"/>
  <c r="AW363"/>
  <c r="AV363"/>
  <c r="AU363"/>
  <c r="AT363"/>
  <c r="AS363"/>
  <c r="AR363"/>
  <c r="AQ363"/>
  <c r="AP363"/>
  <c r="AO363"/>
  <c r="AN363"/>
  <c r="AM363"/>
  <c r="AL363"/>
  <c r="AK363"/>
  <c r="AJ363"/>
  <c r="AI363"/>
  <c r="AH363"/>
  <c r="AG363"/>
  <c r="AF363"/>
  <c r="AE363"/>
  <c r="AD363"/>
  <c r="AC363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G363"/>
  <c r="F363"/>
  <c r="E363"/>
  <c r="D363"/>
  <c r="C363"/>
  <c r="B363"/>
  <c r="A363"/>
  <c r="CJ362"/>
  <c r="CI362"/>
  <c r="CH362"/>
  <c r="CG362"/>
  <c r="CF362"/>
  <c r="CE362"/>
  <c r="CD362"/>
  <c r="CC362"/>
  <c r="CB362"/>
  <c r="CA362"/>
  <c r="BZ362"/>
  <c r="BY362"/>
  <c r="BX362"/>
  <c r="BW362"/>
  <c r="BV362"/>
  <c r="BU362"/>
  <c r="BT362"/>
  <c r="BS362"/>
  <c r="BR362"/>
  <c r="BQ362"/>
  <c r="BP362"/>
  <c r="BO362"/>
  <c r="BN362"/>
  <c r="BM362"/>
  <c r="BL362"/>
  <c r="BK362"/>
  <c r="BJ362"/>
  <c r="BI362"/>
  <c r="BH362"/>
  <c r="BG362"/>
  <c r="BF362"/>
  <c r="BE362"/>
  <c r="BD362"/>
  <c r="BC362"/>
  <c r="BB362"/>
  <c r="BA362"/>
  <c r="AZ362"/>
  <c r="AY362"/>
  <c r="AX362"/>
  <c r="AW362"/>
  <c r="AV362"/>
  <c r="AU362"/>
  <c r="AT362"/>
  <c r="AS362"/>
  <c r="AR362"/>
  <c r="AQ362"/>
  <c r="AP362"/>
  <c r="AO362"/>
  <c r="AN362"/>
  <c r="AM362"/>
  <c r="AL362"/>
  <c r="AK362"/>
  <c r="AJ362"/>
  <c r="AI362"/>
  <c r="AH362"/>
  <c r="AG362"/>
  <c r="AF362"/>
  <c r="AE362"/>
  <c r="AD362"/>
  <c r="AC362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G362"/>
  <c r="F362"/>
  <c r="E362"/>
  <c r="D362"/>
  <c r="C362"/>
  <c r="B362"/>
  <c r="A362"/>
  <c r="CJ361"/>
  <c r="CI361"/>
  <c r="CH361"/>
  <c r="CG361"/>
  <c r="CF361"/>
  <c r="CE361"/>
  <c r="CD361"/>
  <c r="CC361"/>
  <c r="CB361"/>
  <c r="CA361"/>
  <c r="BZ361"/>
  <c r="BY361"/>
  <c r="BX361"/>
  <c r="BW361"/>
  <c r="BV361"/>
  <c r="BU361"/>
  <c r="BT361"/>
  <c r="BS361"/>
  <c r="BR361"/>
  <c r="BQ361"/>
  <c r="BP361"/>
  <c r="BO361"/>
  <c r="BN361"/>
  <c r="BM361"/>
  <c r="BL361"/>
  <c r="BK361"/>
  <c r="BJ361"/>
  <c r="BI361"/>
  <c r="BH361"/>
  <c r="BG361"/>
  <c r="BF361"/>
  <c r="BE361"/>
  <c r="BD361"/>
  <c r="BC361"/>
  <c r="BB361"/>
  <c r="BA361"/>
  <c r="AZ361"/>
  <c r="AY361"/>
  <c r="AX361"/>
  <c r="AW361"/>
  <c r="AV361"/>
  <c r="AU361"/>
  <c r="AT361"/>
  <c r="AS361"/>
  <c r="AR361"/>
  <c r="AQ361"/>
  <c r="AP361"/>
  <c r="AO361"/>
  <c r="AN361"/>
  <c r="AM361"/>
  <c r="AL361"/>
  <c r="AK361"/>
  <c r="AJ361"/>
  <c r="AI361"/>
  <c r="AH361"/>
  <c r="AG361"/>
  <c r="AF361"/>
  <c r="AE361"/>
  <c r="AD361"/>
  <c r="AC361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G361"/>
  <c r="F361"/>
  <c r="E361"/>
  <c r="D361"/>
  <c r="C361"/>
  <c r="B361"/>
  <c r="A361"/>
  <c r="CJ360"/>
  <c r="CI360"/>
  <c r="CH360"/>
  <c r="CG360"/>
  <c r="CF360"/>
  <c r="CE360"/>
  <c r="CD360"/>
  <c r="CC360"/>
  <c r="CB360"/>
  <c r="CA360"/>
  <c r="BZ360"/>
  <c r="BY360"/>
  <c r="BX360"/>
  <c r="BW360"/>
  <c r="BV360"/>
  <c r="BU360"/>
  <c r="BT360"/>
  <c r="BS360"/>
  <c r="BR360"/>
  <c r="BQ360"/>
  <c r="BP360"/>
  <c r="BO360"/>
  <c r="BN360"/>
  <c r="BM360"/>
  <c r="BL360"/>
  <c r="BK360"/>
  <c r="BJ360"/>
  <c r="BI360"/>
  <c r="BH360"/>
  <c r="BG360"/>
  <c r="BF360"/>
  <c r="BE360"/>
  <c r="BD360"/>
  <c r="BC360"/>
  <c r="BB360"/>
  <c r="BA360"/>
  <c r="AZ360"/>
  <c r="AY360"/>
  <c r="AX360"/>
  <c r="AW360"/>
  <c r="AV360"/>
  <c r="AU360"/>
  <c r="AT360"/>
  <c r="AS360"/>
  <c r="AR360"/>
  <c r="AQ360"/>
  <c r="AP360"/>
  <c r="AO360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H360"/>
  <c r="G360"/>
  <c r="F360"/>
  <c r="E360"/>
  <c r="D360"/>
  <c r="C360"/>
  <c r="B360"/>
  <c r="A360"/>
  <c r="CJ359"/>
  <c r="CI359"/>
  <c r="CH359"/>
  <c r="CG359"/>
  <c r="CF359"/>
  <c r="CE359"/>
  <c r="CD359"/>
  <c r="CC359"/>
  <c r="CB359"/>
  <c r="CA359"/>
  <c r="BZ359"/>
  <c r="BY359"/>
  <c r="BX359"/>
  <c r="BW359"/>
  <c r="BV359"/>
  <c r="BU359"/>
  <c r="BT359"/>
  <c r="BS359"/>
  <c r="BR359"/>
  <c r="BQ359"/>
  <c r="BP359"/>
  <c r="BO359"/>
  <c r="BN359"/>
  <c r="BM359"/>
  <c r="BL359"/>
  <c r="BK359"/>
  <c r="BJ359"/>
  <c r="BI359"/>
  <c r="BH359"/>
  <c r="BG359"/>
  <c r="BF359"/>
  <c r="BE359"/>
  <c r="BD359"/>
  <c r="BC359"/>
  <c r="BB359"/>
  <c r="BA359"/>
  <c r="AZ359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D359"/>
  <c r="C359"/>
  <c r="B359"/>
  <c r="A359"/>
  <c r="CJ358"/>
  <c r="CI358"/>
  <c r="CH358"/>
  <c r="CG358"/>
  <c r="CF358"/>
  <c r="CE358"/>
  <c r="CD358"/>
  <c r="CC358"/>
  <c r="CB358"/>
  <c r="CA358"/>
  <c r="BZ358"/>
  <c r="BY358"/>
  <c r="BX358"/>
  <c r="BW358"/>
  <c r="BV358"/>
  <c r="BU358"/>
  <c r="BT358"/>
  <c r="BS358"/>
  <c r="BR358"/>
  <c r="BQ358"/>
  <c r="BP358"/>
  <c r="BO358"/>
  <c r="BN358"/>
  <c r="BM358"/>
  <c r="BL358"/>
  <c r="BK358"/>
  <c r="BJ358"/>
  <c r="BI358"/>
  <c r="BH358"/>
  <c r="BG358"/>
  <c r="BF358"/>
  <c r="BE358"/>
  <c r="BD358"/>
  <c r="BC358"/>
  <c r="BB358"/>
  <c r="BA358"/>
  <c r="AZ358"/>
  <c r="AY358"/>
  <c r="AX358"/>
  <c r="AW358"/>
  <c r="AV358"/>
  <c r="AU358"/>
  <c r="AT358"/>
  <c r="AS358"/>
  <c r="AR358"/>
  <c r="AQ358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G358"/>
  <c r="F358"/>
  <c r="E358"/>
  <c r="D358"/>
  <c r="C358"/>
  <c r="B358"/>
  <c r="A358"/>
  <c r="CJ357"/>
  <c r="CI357"/>
  <c r="CH357"/>
  <c r="CG357"/>
  <c r="CF357"/>
  <c r="CE357"/>
  <c r="CD357"/>
  <c r="CC357"/>
  <c r="CB357"/>
  <c r="CA357"/>
  <c r="BZ357"/>
  <c r="BY357"/>
  <c r="BX357"/>
  <c r="BW357"/>
  <c r="BV357"/>
  <c r="BU357"/>
  <c r="BT357"/>
  <c r="BS357"/>
  <c r="BR357"/>
  <c r="BQ357"/>
  <c r="BP357"/>
  <c r="BO357"/>
  <c r="BN357"/>
  <c r="BM357"/>
  <c r="BL357"/>
  <c r="BK357"/>
  <c r="BJ357"/>
  <c r="BI357"/>
  <c r="BH357"/>
  <c r="BG357"/>
  <c r="BF357"/>
  <c r="BE357"/>
  <c r="BD357"/>
  <c r="BC357"/>
  <c r="BB357"/>
  <c r="BA357"/>
  <c r="AZ357"/>
  <c r="AY357"/>
  <c r="AX357"/>
  <c r="AW357"/>
  <c r="AV357"/>
  <c r="AU357"/>
  <c r="AT357"/>
  <c r="AS357"/>
  <c r="AR357"/>
  <c r="AQ357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D357"/>
  <c r="C357"/>
  <c r="B357"/>
  <c r="A357"/>
  <c r="CJ356"/>
  <c r="CI356"/>
  <c r="CH356"/>
  <c r="CG356"/>
  <c r="CF356"/>
  <c r="CE356"/>
  <c r="CD356"/>
  <c r="CC356"/>
  <c r="CB356"/>
  <c r="CA356"/>
  <c r="BZ356"/>
  <c r="BY356"/>
  <c r="BX356"/>
  <c r="BW356"/>
  <c r="BV356"/>
  <c r="BU356"/>
  <c r="BT356"/>
  <c r="BS356"/>
  <c r="BR356"/>
  <c r="BQ356"/>
  <c r="BP356"/>
  <c r="BO356"/>
  <c r="BN356"/>
  <c r="BM356"/>
  <c r="BL356"/>
  <c r="BK356"/>
  <c r="BJ356"/>
  <c r="BI356"/>
  <c r="BH356"/>
  <c r="BG356"/>
  <c r="BF356"/>
  <c r="BE356"/>
  <c r="BD356"/>
  <c r="BC356"/>
  <c r="BB356"/>
  <c r="BA356"/>
  <c r="AZ356"/>
  <c r="AY356"/>
  <c r="AX356"/>
  <c r="AW356"/>
  <c r="AV356"/>
  <c r="AU356"/>
  <c r="AT356"/>
  <c r="AS356"/>
  <c r="AR356"/>
  <c r="AQ356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D356"/>
  <c r="C356"/>
  <c r="B356"/>
  <c r="A356"/>
  <c r="CJ355"/>
  <c r="CI355"/>
  <c r="CH355"/>
  <c r="CG355"/>
  <c r="CF355"/>
  <c r="CE355"/>
  <c r="CD355"/>
  <c r="CC355"/>
  <c r="CB355"/>
  <c r="CA355"/>
  <c r="BZ355"/>
  <c r="BY355"/>
  <c r="BX355"/>
  <c r="BW355"/>
  <c r="BV355"/>
  <c r="BU355"/>
  <c r="BT355"/>
  <c r="BS355"/>
  <c r="BR355"/>
  <c r="BQ355"/>
  <c r="BP355"/>
  <c r="BO355"/>
  <c r="BN355"/>
  <c r="BM355"/>
  <c r="BL355"/>
  <c r="BK355"/>
  <c r="BJ355"/>
  <c r="BI355"/>
  <c r="BH355"/>
  <c r="BG355"/>
  <c r="BF355"/>
  <c r="BE355"/>
  <c r="BD355"/>
  <c r="BC355"/>
  <c r="BB355"/>
  <c r="BA355"/>
  <c r="AZ355"/>
  <c r="AY355"/>
  <c r="AX355"/>
  <c r="AW355"/>
  <c r="AV355"/>
  <c r="AU355"/>
  <c r="AT355"/>
  <c r="AS355"/>
  <c r="AR355"/>
  <c r="AQ355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K355"/>
  <c r="J355"/>
  <c r="I355"/>
  <c r="H355"/>
  <c r="G355"/>
  <c r="F355"/>
  <c r="E355"/>
  <c r="D355"/>
  <c r="C355"/>
  <c r="B355"/>
  <c r="A355"/>
  <c r="CJ354"/>
  <c r="CI354"/>
  <c r="CH354"/>
  <c r="CG354"/>
  <c r="CF354"/>
  <c r="CE354"/>
  <c r="CD354"/>
  <c r="CC354"/>
  <c r="CB354"/>
  <c r="CA354"/>
  <c r="BZ354"/>
  <c r="BY354"/>
  <c r="BX354"/>
  <c r="BW354"/>
  <c r="BV354"/>
  <c r="BU354"/>
  <c r="BT354"/>
  <c r="BS354"/>
  <c r="BR354"/>
  <c r="BQ354"/>
  <c r="BP354"/>
  <c r="BO354"/>
  <c r="BN354"/>
  <c r="BM354"/>
  <c r="BL354"/>
  <c r="BK354"/>
  <c r="BJ354"/>
  <c r="BI354"/>
  <c r="BH354"/>
  <c r="BG354"/>
  <c r="BF354"/>
  <c r="BE354"/>
  <c r="BD354"/>
  <c r="BC354"/>
  <c r="BB354"/>
  <c r="BA354"/>
  <c r="AZ354"/>
  <c r="AY354"/>
  <c r="AX354"/>
  <c r="AW354"/>
  <c r="AV354"/>
  <c r="AU354"/>
  <c r="AT354"/>
  <c r="AS354"/>
  <c r="AR354"/>
  <c r="AQ354"/>
  <c r="AP354"/>
  <c r="AO354"/>
  <c r="AN354"/>
  <c r="AM354"/>
  <c r="AL354"/>
  <c r="AK354"/>
  <c r="AJ354"/>
  <c r="AI354"/>
  <c r="AH354"/>
  <c r="AG354"/>
  <c r="AF354"/>
  <c r="AE354"/>
  <c r="AD354"/>
  <c r="AC354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K354"/>
  <c r="J354"/>
  <c r="I354"/>
  <c r="H354"/>
  <c r="G354"/>
  <c r="F354"/>
  <c r="E354"/>
  <c r="D354"/>
  <c r="C354"/>
  <c r="B354"/>
  <c r="A354"/>
  <c r="CJ353"/>
  <c r="CI353"/>
  <c r="CH353"/>
  <c r="CG353"/>
  <c r="CF353"/>
  <c r="CE353"/>
  <c r="CD353"/>
  <c r="CC353"/>
  <c r="CB353"/>
  <c r="CA353"/>
  <c r="BZ353"/>
  <c r="BY353"/>
  <c r="BX353"/>
  <c r="BW353"/>
  <c r="BV353"/>
  <c r="BU353"/>
  <c r="BT353"/>
  <c r="BS353"/>
  <c r="BR353"/>
  <c r="BQ353"/>
  <c r="BP353"/>
  <c r="BO353"/>
  <c r="BN353"/>
  <c r="BM353"/>
  <c r="BL353"/>
  <c r="BK353"/>
  <c r="BJ353"/>
  <c r="BI353"/>
  <c r="BH353"/>
  <c r="BG353"/>
  <c r="BF353"/>
  <c r="BE353"/>
  <c r="BD353"/>
  <c r="BC353"/>
  <c r="BB353"/>
  <c r="BA353"/>
  <c r="AZ353"/>
  <c r="AY353"/>
  <c r="AX353"/>
  <c r="AW353"/>
  <c r="AV353"/>
  <c r="AU353"/>
  <c r="AT353"/>
  <c r="AS353"/>
  <c r="AR353"/>
  <c r="AQ353"/>
  <c r="AP353"/>
  <c r="AO353"/>
  <c r="AN353"/>
  <c r="AM353"/>
  <c r="AL353"/>
  <c r="AK353"/>
  <c r="AJ353"/>
  <c r="AI353"/>
  <c r="AH353"/>
  <c r="AG353"/>
  <c r="AF353"/>
  <c r="AE353"/>
  <c r="AD353"/>
  <c r="AC353"/>
  <c r="AB353"/>
  <c r="AA353"/>
  <c r="Z353"/>
  <c r="Y353"/>
  <c r="X353"/>
  <c r="W353"/>
  <c r="V353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D353"/>
  <c r="C353"/>
  <c r="B353"/>
  <c r="A353"/>
  <c r="CJ352"/>
  <c r="CI352"/>
  <c r="CH352"/>
  <c r="CG352"/>
  <c r="CF352"/>
  <c r="CE352"/>
  <c r="CD352"/>
  <c r="CC352"/>
  <c r="CB352"/>
  <c r="CA352"/>
  <c r="BZ352"/>
  <c r="BY352"/>
  <c r="BX352"/>
  <c r="BW352"/>
  <c r="BV352"/>
  <c r="BU352"/>
  <c r="BT352"/>
  <c r="BS352"/>
  <c r="BR352"/>
  <c r="BQ352"/>
  <c r="BP352"/>
  <c r="BO352"/>
  <c r="BN352"/>
  <c r="BM352"/>
  <c r="BL352"/>
  <c r="BK352"/>
  <c r="BJ352"/>
  <c r="BI352"/>
  <c r="BH352"/>
  <c r="BG352"/>
  <c r="BF352"/>
  <c r="BE352"/>
  <c r="BD352"/>
  <c r="BC352"/>
  <c r="BB352"/>
  <c r="BA352"/>
  <c r="AZ352"/>
  <c r="AY352"/>
  <c r="AX352"/>
  <c r="AW352"/>
  <c r="AV352"/>
  <c r="AU352"/>
  <c r="AT352"/>
  <c r="AS352"/>
  <c r="AR352"/>
  <c r="AQ352"/>
  <c r="AP352"/>
  <c r="AO352"/>
  <c r="AN352"/>
  <c r="AM352"/>
  <c r="AL352"/>
  <c r="AK352"/>
  <c r="AJ352"/>
  <c r="AI352"/>
  <c r="AH352"/>
  <c r="AG352"/>
  <c r="AF352"/>
  <c r="AE352"/>
  <c r="AD352"/>
  <c r="AC352"/>
  <c r="AB352"/>
  <c r="AA352"/>
  <c r="Z352"/>
  <c r="Y352"/>
  <c r="X352"/>
  <c r="W352"/>
  <c r="V352"/>
  <c r="U352"/>
  <c r="T352"/>
  <c r="S352"/>
  <c r="R352"/>
  <c r="Q352"/>
  <c r="P352"/>
  <c r="O352"/>
  <c r="N352"/>
  <c r="M352"/>
  <c r="L352"/>
  <c r="K352"/>
  <c r="J352"/>
  <c r="I352"/>
  <c r="H352"/>
  <c r="G352"/>
  <c r="F352"/>
  <c r="E352"/>
  <c r="D352"/>
  <c r="C352"/>
  <c r="B352"/>
  <c r="A352"/>
  <c r="CJ351"/>
  <c r="CI351"/>
  <c r="CH351"/>
  <c r="CG351"/>
  <c r="CF351"/>
  <c r="CE351"/>
  <c r="CD351"/>
  <c r="CC351"/>
  <c r="CB351"/>
  <c r="CA351"/>
  <c r="BZ351"/>
  <c r="BY351"/>
  <c r="BX351"/>
  <c r="BW351"/>
  <c r="BV351"/>
  <c r="BU351"/>
  <c r="BT351"/>
  <c r="BS351"/>
  <c r="BR351"/>
  <c r="BQ351"/>
  <c r="BP351"/>
  <c r="BO351"/>
  <c r="BN351"/>
  <c r="BM351"/>
  <c r="BL351"/>
  <c r="BK351"/>
  <c r="BJ351"/>
  <c r="BI351"/>
  <c r="BH351"/>
  <c r="BG351"/>
  <c r="BF351"/>
  <c r="BE351"/>
  <c r="BD351"/>
  <c r="BC351"/>
  <c r="BB351"/>
  <c r="BA351"/>
  <c r="AZ351"/>
  <c r="AY351"/>
  <c r="AX351"/>
  <c r="AW351"/>
  <c r="AV351"/>
  <c r="AU351"/>
  <c r="AT351"/>
  <c r="AS351"/>
  <c r="AR351"/>
  <c r="AQ351"/>
  <c r="AP351"/>
  <c r="AO351"/>
  <c r="AN351"/>
  <c r="AM351"/>
  <c r="AL351"/>
  <c r="AK351"/>
  <c r="AJ351"/>
  <c r="AI351"/>
  <c r="AH351"/>
  <c r="AG351"/>
  <c r="AF351"/>
  <c r="AE351"/>
  <c r="AD351"/>
  <c r="AC351"/>
  <c r="AB351"/>
  <c r="AA351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I351"/>
  <c r="H351"/>
  <c r="G351"/>
  <c r="F351"/>
  <c r="E351"/>
  <c r="D351"/>
  <c r="C351"/>
  <c r="B351"/>
  <c r="A351"/>
  <c r="CJ350"/>
  <c r="CI350"/>
  <c r="CH350"/>
  <c r="CG350"/>
  <c r="CF350"/>
  <c r="CE350"/>
  <c r="CD350"/>
  <c r="CC350"/>
  <c r="CB350"/>
  <c r="CA350"/>
  <c r="BZ350"/>
  <c r="BY350"/>
  <c r="BX350"/>
  <c r="BW350"/>
  <c r="BV350"/>
  <c r="BU350"/>
  <c r="BT350"/>
  <c r="BS350"/>
  <c r="BR350"/>
  <c r="BQ350"/>
  <c r="BP350"/>
  <c r="BO350"/>
  <c r="BN350"/>
  <c r="BM350"/>
  <c r="BL350"/>
  <c r="BK350"/>
  <c r="BJ350"/>
  <c r="BI350"/>
  <c r="BH350"/>
  <c r="BG350"/>
  <c r="BF350"/>
  <c r="BE350"/>
  <c r="BD350"/>
  <c r="BC350"/>
  <c r="BB350"/>
  <c r="BA350"/>
  <c r="AZ350"/>
  <c r="AY350"/>
  <c r="AX350"/>
  <c r="AW350"/>
  <c r="AV350"/>
  <c r="AU350"/>
  <c r="AT350"/>
  <c r="AS350"/>
  <c r="AR350"/>
  <c r="AQ350"/>
  <c r="AP350"/>
  <c r="AO350"/>
  <c r="AN350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H350"/>
  <c r="G350"/>
  <c r="F350"/>
  <c r="E350"/>
  <c r="D350"/>
  <c r="C350"/>
  <c r="B350"/>
  <c r="A350"/>
  <c r="CJ349"/>
  <c r="CI349"/>
  <c r="CH349"/>
  <c r="CG349"/>
  <c r="CF349"/>
  <c r="CE349"/>
  <c r="CD349"/>
  <c r="CC349"/>
  <c r="CB349"/>
  <c r="CA349"/>
  <c r="BZ349"/>
  <c r="BY349"/>
  <c r="BX349"/>
  <c r="BW349"/>
  <c r="BV349"/>
  <c r="BU349"/>
  <c r="BT349"/>
  <c r="BS349"/>
  <c r="BR349"/>
  <c r="BQ349"/>
  <c r="BP349"/>
  <c r="BO349"/>
  <c r="BN349"/>
  <c r="BM349"/>
  <c r="BL349"/>
  <c r="BK349"/>
  <c r="BJ349"/>
  <c r="BI349"/>
  <c r="BH349"/>
  <c r="BG349"/>
  <c r="BF349"/>
  <c r="BE349"/>
  <c r="BD349"/>
  <c r="BC349"/>
  <c r="BB349"/>
  <c r="BA349"/>
  <c r="AZ349"/>
  <c r="AY349"/>
  <c r="AX349"/>
  <c r="AW349"/>
  <c r="AV349"/>
  <c r="AU349"/>
  <c r="AT349"/>
  <c r="AS349"/>
  <c r="AR349"/>
  <c r="AQ349"/>
  <c r="AP349"/>
  <c r="AO349"/>
  <c r="AN349"/>
  <c r="AM349"/>
  <c r="AL349"/>
  <c r="AK349"/>
  <c r="AJ349"/>
  <c r="AI349"/>
  <c r="AH349"/>
  <c r="AG349"/>
  <c r="AF349"/>
  <c r="AE349"/>
  <c r="AD349"/>
  <c r="AC349"/>
  <c r="AB349"/>
  <c r="AA349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H349"/>
  <c r="G349"/>
  <c r="F349"/>
  <c r="E349"/>
  <c r="D349"/>
  <c r="C349"/>
  <c r="B349"/>
  <c r="A349"/>
  <c r="CJ348"/>
  <c r="CI348"/>
  <c r="CH348"/>
  <c r="CG348"/>
  <c r="CF348"/>
  <c r="CE348"/>
  <c r="CD348"/>
  <c r="CC348"/>
  <c r="CB348"/>
  <c r="CA348"/>
  <c r="BZ348"/>
  <c r="BY348"/>
  <c r="BX348"/>
  <c r="BW348"/>
  <c r="BV348"/>
  <c r="BU348"/>
  <c r="BT348"/>
  <c r="BS348"/>
  <c r="BR348"/>
  <c r="BQ348"/>
  <c r="BP348"/>
  <c r="BO348"/>
  <c r="BN348"/>
  <c r="BM348"/>
  <c r="BL348"/>
  <c r="BK348"/>
  <c r="BJ348"/>
  <c r="BI348"/>
  <c r="BH348"/>
  <c r="BG348"/>
  <c r="BF348"/>
  <c r="BE348"/>
  <c r="BD348"/>
  <c r="BC348"/>
  <c r="BB348"/>
  <c r="BA348"/>
  <c r="AZ348"/>
  <c r="AY348"/>
  <c r="AX348"/>
  <c r="AW348"/>
  <c r="AV348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F348"/>
  <c r="E348"/>
  <c r="D348"/>
  <c r="C348"/>
  <c r="B348"/>
  <c r="A348"/>
  <c r="CJ347"/>
  <c r="CI347"/>
  <c r="CH347"/>
  <c r="CG347"/>
  <c r="CF347"/>
  <c r="CE347"/>
  <c r="CD347"/>
  <c r="CC347"/>
  <c r="CB347"/>
  <c r="CA347"/>
  <c r="BZ347"/>
  <c r="BY347"/>
  <c r="BX347"/>
  <c r="BW347"/>
  <c r="BV347"/>
  <c r="BU347"/>
  <c r="BT347"/>
  <c r="BS347"/>
  <c r="BR347"/>
  <c r="BQ347"/>
  <c r="BP347"/>
  <c r="BO347"/>
  <c r="BN347"/>
  <c r="BM347"/>
  <c r="BL347"/>
  <c r="BK347"/>
  <c r="BJ347"/>
  <c r="BI347"/>
  <c r="BH347"/>
  <c r="BG347"/>
  <c r="BF347"/>
  <c r="BE347"/>
  <c r="BD347"/>
  <c r="BC347"/>
  <c r="BB347"/>
  <c r="BA347"/>
  <c r="AZ347"/>
  <c r="AY347"/>
  <c r="AX347"/>
  <c r="AW347"/>
  <c r="AV347"/>
  <c r="AU347"/>
  <c r="AT347"/>
  <c r="AS347"/>
  <c r="AR347"/>
  <c r="AQ347"/>
  <c r="AP347"/>
  <c r="AO347"/>
  <c r="AN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G347"/>
  <c r="F347"/>
  <c r="E347"/>
  <c r="D347"/>
  <c r="C347"/>
  <c r="B347"/>
  <c r="A347"/>
  <c r="CJ346"/>
  <c r="CI346"/>
  <c r="CH346"/>
  <c r="CG346"/>
  <c r="CF346"/>
  <c r="CE346"/>
  <c r="CD346"/>
  <c r="CC346"/>
  <c r="CB346"/>
  <c r="CA346"/>
  <c r="BZ346"/>
  <c r="BY346"/>
  <c r="BX346"/>
  <c r="BW346"/>
  <c r="BV346"/>
  <c r="BU346"/>
  <c r="BT346"/>
  <c r="BS346"/>
  <c r="BR346"/>
  <c r="BQ346"/>
  <c r="BP346"/>
  <c r="BO346"/>
  <c r="BN346"/>
  <c r="BM346"/>
  <c r="BL346"/>
  <c r="BK346"/>
  <c r="BJ346"/>
  <c r="BI346"/>
  <c r="BH346"/>
  <c r="BG346"/>
  <c r="BF346"/>
  <c r="BE346"/>
  <c r="BD346"/>
  <c r="BC346"/>
  <c r="BB346"/>
  <c r="BA346"/>
  <c r="AZ346"/>
  <c r="AY346"/>
  <c r="AX346"/>
  <c r="AW346"/>
  <c r="AV346"/>
  <c r="AU346"/>
  <c r="AT346"/>
  <c r="AS346"/>
  <c r="AR346"/>
  <c r="AQ346"/>
  <c r="AP346"/>
  <c r="AO346"/>
  <c r="AN346"/>
  <c r="AM346"/>
  <c r="AL346"/>
  <c r="AK346"/>
  <c r="AJ346"/>
  <c r="AI346"/>
  <c r="AH346"/>
  <c r="AG346"/>
  <c r="AF346"/>
  <c r="AE346"/>
  <c r="AD346"/>
  <c r="AC346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K346"/>
  <c r="J346"/>
  <c r="I346"/>
  <c r="H346"/>
  <c r="G346"/>
  <c r="F346"/>
  <c r="E346"/>
  <c r="D346"/>
  <c r="C346"/>
  <c r="B346"/>
  <c r="A346"/>
  <c r="CJ345"/>
  <c r="CI345"/>
  <c r="CH345"/>
  <c r="CG345"/>
  <c r="CF345"/>
  <c r="CE345"/>
  <c r="CD345"/>
  <c r="CC345"/>
  <c r="CB345"/>
  <c r="CA345"/>
  <c r="BZ345"/>
  <c r="BY345"/>
  <c r="BX345"/>
  <c r="BW345"/>
  <c r="BV345"/>
  <c r="BU345"/>
  <c r="BT345"/>
  <c r="BS345"/>
  <c r="BR345"/>
  <c r="BQ345"/>
  <c r="BP345"/>
  <c r="BO345"/>
  <c r="BN345"/>
  <c r="BM345"/>
  <c r="BL345"/>
  <c r="BK345"/>
  <c r="BJ345"/>
  <c r="BI345"/>
  <c r="BH345"/>
  <c r="BG345"/>
  <c r="BF345"/>
  <c r="BE345"/>
  <c r="BD345"/>
  <c r="BC345"/>
  <c r="BB345"/>
  <c r="BA345"/>
  <c r="AZ345"/>
  <c r="AY345"/>
  <c r="AX345"/>
  <c r="AW345"/>
  <c r="AV345"/>
  <c r="AU345"/>
  <c r="AT345"/>
  <c r="AS345"/>
  <c r="AR345"/>
  <c r="AQ345"/>
  <c r="AP345"/>
  <c r="AO345"/>
  <c r="AN345"/>
  <c r="AM345"/>
  <c r="AL345"/>
  <c r="AK345"/>
  <c r="AJ345"/>
  <c r="AI345"/>
  <c r="AH345"/>
  <c r="AG345"/>
  <c r="AF345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D345"/>
  <c r="C345"/>
  <c r="B345"/>
  <c r="A345"/>
  <c r="CJ344"/>
  <c r="CI344"/>
  <c r="CH344"/>
  <c r="CG344"/>
  <c r="CF344"/>
  <c r="CE344"/>
  <c r="CD344"/>
  <c r="CC344"/>
  <c r="CB344"/>
  <c r="CA344"/>
  <c r="BZ344"/>
  <c r="BY344"/>
  <c r="BX344"/>
  <c r="BW344"/>
  <c r="BV344"/>
  <c r="BU344"/>
  <c r="BT344"/>
  <c r="BS344"/>
  <c r="BR344"/>
  <c r="BQ344"/>
  <c r="BP344"/>
  <c r="BO344"/>
  <c r="BN344"/>
  <c r="BM344"/>
  <c r="BL344"/>
  <c r="BK344"/>
  <c r="BJ344"/>
  <c r="BI344"/>
  <c r="BH344"/>
  <c r="BG344"/>
  <c r="BF344"/>
  <c r="BE344"/>
  <c r="BD344"/>
  <c r="BC344"/>
  <c r="BB344"/>
  <c r="BA344"/>
  <c r="AZ344"/>
  <c r="AY344"/>
  <c r="AX344"/>
  <c r="AW344"/>
  <c r="AV344"/>
  <c r="AU344"/>
  <c r="AT344"/>
  <c r="AS344"/>
  <c r="AR344"/>
  <c r="AQ344"/>
  <c r="AP344"/>
  <c r="AO344"/>
  <c r="AN344"/>
  <c r="AM344"/>
  <c r="AL344"/>
  <c r="AK344"/>
  <c r="AJ344"/>
  <c r="AI344"/>
  <c r="AH344"/>
  <c r="AG344"/>
  <c r="AF344"/>
  <c r="AE344"/>
  <c r="AD344"/>
  <c r="AC344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G344"/>
  <c r="F344"/>
  <c r="E344"/>
  <c r="D344"/>
  <c r="C344"/>
  <c r="B344"/>
  <c r="A344"/>
  <c r="CJ343"/>
  <c r="CI343"/>
  <c r="CH343"/>
  <c r="CG343"/>
  <c r="CF343"/>
  <c r="CE343"/>
  <c r="CD343"/>
  <c r="CC343"/>
  <c r="CB343"/>
  <c r="CA343"/>
  <c r="BZ343"/>
  <c r="BY343"/>
  <c r="BX343"/>
  <c r="BW343"/>
  <c r="BV343"/>
  <c r="BU343"/>
  <c r="BT343"/>
  <c r="BS343"/>
  <c r="BR343"/>
  <c r="BQ343"/>
  <c r="BP343"/>
  <c r="BO343"/>
  <c r="BN343"/>
  <c r="BM343"/>
  <c r="BL343"/>
  <c r="BK343"/>
  <c r="BJ343"/>
  <c r="BI343"/>
  <c r="BH343"/>
  <c r="BG343"/>
  <c r="BF343"/>
  <c r="BE343"/>
  <c r="BD343"/>
  <c r="BC343"/>
  <c r="BB343"/>
  <c r="BA343"/>
  <c r="AZ343"/>
  <c r="AY343"/>
  <c r="AX343"/>
  <c r="AW343"/>
  <c r="AV343"/>
  <c r="AU343"/>
  <c r="AT343"/>
  <c r="AS343"/>
  <c r="AR343"/>
  <c r="AQ343"/>
  <c r="AP343"/>
  <c r="AO343"/>
  <c r="AN343"/>
  <c r="AM343"/>
  <c r="AL343"/>
  <c r="AK343"/>
  <c r="AJ343"/>
  <c r="AI343"/>
  <c r="AH343"/>
  <c r="AG343"/>
  <c r="AF343"/>
  <c r="AE343"/>
  <c r="AD343"/>
  <c r="AC343"/>
  <c r="AB343"/>
  <c r="AA343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I343"/>
  <c r="H343"/>
  <c r="G343"/>
  <c r="F343"/>
  <c r="E343"/>
  <c r="D343"/>
  <c r="C343"/>
  <c r="B343"/>
  <c r="A343"/>
  <c r="CJ342"/>
  <c r="CI342"/>
  <c r="CH342"/>
  <c r="CG342"/>
  <c r="CF342"/>
  <c r="CE342"/>
  <c r="CD342"/>
  <c r="CC342"/>
  <c r="CB342"/>
  <c r="CA342"/>
  <c r="BZ342"/>
  <c r="BY342"/>
  <c r="BX342"/>
  <c r="BW342"/>
  <c r="BV342"/>
  <c r="BU342"/>
  <c r="BT342"/>
  <c r="BS342"/>
  <c r="BR342"/>
  <c r="BQ342"/>
  <c r="BP342"/>
  <c r="BO342"/>
  <c r="BN342"/>
  <c r="BM342"/>
  <c r="BL342"/>
  <c r="BK342"/>
  <c r="BJ342"/>
  <c r="BI342"/>
  <c r="BH342"/>
  <c r="BG342"/>
  <c r="BF342"/>
  <c r="BE342"/>
  <c r="BD342"/>
  <c r="BC342"/>
  <c r="BB342"/>
  <c r="BA342"/>
  <c r="AZ342"/>
  <c r="AY342"/>
  <c r="AX342"/>
  <c r="AW342"/>
  <c r="AV342"/>
  <c r="AU342"/>
  <c r="AT342"/>
  <c r="AS342"/>
  <c r="AR342"/>
  <c r="AQ342"/>
  <c r="AP342"/>
  <c r="AO342"/>
  <c r="AN342"/>
  <c r="AM342"/>
  <c r="AL342"/>
  <c r="AK342"/>
  <c r="AJ342"/>
  <c r="AI342"/>
  <c r="AH342"/>
  <c r="AG342"/>
  <c r="AF342"/>
  <c r="AE342"/>
  <c r="AD342"/>
  <c r="AC342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G342"/>
  <c r="F342"/>
  <c r="E342"/>
  <c r="D342"/>
  <c r="C342"/>
  <c r="B342"/>
  <c r="A342"/>
  <c r="CJ341"/>
  <c r="CI341"/>
  <c r="CH341"/>
  <c r="CG341"/>
  <c r="CF341"/>
  <c r="CE341"/>
  <c r="CD341"/>
  <c r="CC341"/>
  <c r="CB341"/>
  <c r="CA341"/>
  <c r="BZ341"/>
  <c r="BY341"/>
  <c r="BX341"/>
  <c r="BW341"/>
  <c r="BV341"/>
  <c r="BU341"/>
  <c r="BT341"/>
  <c r="BS341"/>
  <c r="BR341"/>
  <c r="BQ341"/>
  <c r="BP341"/>
  <c r="BO341"/>
  <c r="BN341"/>
  <c r="BM341"/>
  <c r="BL341"/>
  <c r="BK341"/>
  <c r="BJ341"/>
  <c r="BI341"/>
  <c r="BH341"/>
  <c r="BG341"/>
  <c r="BF341"/>
  <c r="BE341"/>
  <c r="BD341"/>
  <c r="BC341"/>
  <c r="BB341"/>
  <c r="BA341"/>
  <c r="AZ341"/>
  <c r="AY341"/>
  <c r="AX341"/>
  <c r="AW341"/>
  <c r="AV341"/>
  <c r="AU341"/>
  <c r="AT341"/>
  <c r="AS341"/>
  <c r="AR341"/>
  <c r="AQ341"/>
  <c r="AP341"/>
  <c r="AO341"/>
  <c r="AN341"/>
  <c r="AM341"/>
  <c r="AL341"/>
  <c r="AK341"/>
  <c r="AJ341"/>
  <c r="AI341"/>
  <c r="AH34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G341"/>
  <c r="F341"/>
  <c r="E341"/>
  <c r="D341"/>
  <c r="C341"/>
  <c r="B341"/>
  <c r="A341"/>
  <c r="CJ340"/>
  <c r="CI340"/>
  <c r="CH340"/>
  <c r="CG340"/>
  <c r="CF340"/>
  <c r="CE340"/>
  <c r="CD340"/>
  <c r="CC340"/>
  <c r="CB340"/>
  <c r="CA340"/>
  <c r="BZ340"/>
  <c r="BY340"/>
  <c r="BX340"/>
  <c r="BW340"/>
  <c r="BV340"/>
  <c r="BU340"/>
  <c r="BT340"/>
  <c r="BS340"/>
  <c r="BR340"/>
  <c r="BQ340"/>
  <c r="BP340"/>
  <c r="BO340"/>
  <c r="BN340"/>
  <c r="BM340"/>
  <c r="BL340"/>
  <c r="BK340"/>
  <c r="BJ340"/>
  <c r="BI340"/>
  <c r="BH340"/>
  <c r="BG340"/>
  <c r="BF340"/>
  <c r="BE340"/>
  <c r="BD340"/>
  <c r="BC340"/>
  <c r="BB340"/>
  <c r="BA340"/>
  <c r="AZ340"/>
  <c r="AY340"/>
  <c r="AX340"/>
  <c r="AW340"/>
  <c r="AV340"/>
  <c r="AU340"/>
  <c r="AT340"/>
  <c r="AS340"/>
  <c r="AR340"/>
  <c r="AQ340"/>
  <c r="AP340"/>
  <c r="AO340"/>
  <c r="AN340"/>
  <c r="AM340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G340"/>
  <c r="F340"/>
  <c r="E340"/>
  <c r="D340"/>
  <c r="C340"/>
  <c r="B340"/>
  <c r="A340"/>
  <c r="CJ339"/>
  <c r="CI339"/>
  <c r="CH339"/>
  <c r="CG339"/>
  <c r="CF339"/>
  <c r="CE339"/>
  <c r="CD339"/>
  <c r="CC339"/>
  <c r="CB339"/>
  <c r="CA339"/>
  <c r="BZ339"/>
  <c r="BY339"/>
  <c r="BX339"/>
  <c r="BW339"/>
  <c r="BV339"/>
  <c r="BU339"/>
  <c r="BT339"/>
  <c r="BS339"/>
  <c r="BR339"/>
  <c r="BQ339"/>
  <c r="BP339"/>
  <c r="BO339"/>
  <c r="BN339"/>
  <c r="BM339"/>
  <c r="BL339"/>
  <c r="BK339"/>
  <c r="BJ339"/>
  <c r="BI339"/>
  <c r="BH339"/>
  <c r="BG339"/>
  <c r="BF339"/>
  <c r="BE339"/>
  <c r="BD339"/>
  <c r="BC339"/>
  <c r="BB339"/>
  <c r="BA339"/>
  <c r="AZ339"/>
  <c r="AY339"/>
  <c r="AX339"/>
  <c r="AW339"/>
  <c r="AV339"/>
  <c r="AU339"/>
  <c r="AT339"/>
  <c r="AS339"/>
  <c r="AR339"/>
  <c r="AQ339"/>
  <c r="AP339"/>
  <c r="AO339"/>
  <c r="AN339"/>
  <c r="AM339"/>
  <c r="AL339"/>
  <c r="AK339"/>
  <c r="AJ339"/>
  <c r="AI339"/>
  <c r="AH339"/>
  <c r="AG339"/>
  <c r="AF339"/>
  <c r="AE339"/>
  <c r="AD339"/>
  <c r="AC339"/>
  <c r="AB339"/>
  <c r="AA339"/>
  <c r="Z339"/>
  <c r="Y339"/>
  <c r="X339"/>
  <c r="W339"/>
  <c r="V339"/>
  <c r="U339"/>
  <c r="T339"/>
  <c r="S339"/>
  <c r="R339"/>
  <c r="Q339"/>
  <c r="P339"/>
  <c r="O339"/>
  <c r="N339"/>
  <c r="M339"/>
  <c r="L339"/>
  <c r="K339"/>
  <c r="J339"/>
  <c r="I339"/>
  <c r="H339"/>
  <c r="G339"/>
  <c r="F339"/>
  <c r="E339"/>
  <c r="D339"/>
  <c r="C339"/>
  <c r="B339"/>
  <c r="A339"/>
  <c r="CJ338"/>
  <c r="CI338"/>
  <c r="CH338"/>
  <c r="CG338"/>
  <c r="CF338"/>
  <c r="CE338"/>
  <c r="CD338"/>
  <c r="CC338"/>
  <c r="CB338"/>
  <c r="CA338"/>
  <c r="BZ338"/>
  <c r="BY338"/>
  <c r="BX338"/>
  <c r="BW338"/>
  <c r="BV338"/>
  <c r="BU338"/>
  <c r="BT338"/>
  <c r="BS338"/>
  <c r="BR338"/>
  <c r="BQ338"/>
  <c r="BP338"/>
  <c r="BO338"/>
  <c r="BN338"/>
  <c r="BM338"/>
  <c r="BL338"/>
  <c r="BK338"/>
  <c r="BJ338"/>
  <c r="BI338"/>
  <c r="BH338"/>
  <c r="BG338"/>
  <c r="BF338"/>
  <c r="BE338"/>
  <c r="BD338"/>
  <c r="BC338"/>
  <c r="BB338"/>
  <c r="BA338"/>
  <c r="AZ338"/>
  <c r="AY338"/>
  <c r="AX338"/>
  <c r="AW338"/>
  <c r="AV338"/>
  <c r="AU338"/>
  <c r="AT338"/>
  <c r="AS338"/>
  <c r="AR338"/>
  <c r="AQ338"/>
  <c r="AP338"/>
  <c r="AO338"/>
  <c r="AN338"/>
  <c r="AM338"/>
  <c r="AL338"/>
  <c r="AK338"/>
  <c r="AJ338"/>
  <c r="AI338"/>
  <c r="AH338"/>
  <c r="AG338"/>
  <c r="AF338"/>
  <c r="AE338"/>
  <c r="AD338"/>
  <c r="AC338"/>
  <c r="AB338"/>
  <c r="AA338"/>
  <c r="Z338"/>
  <c r="Y338"/>
  <c r="X338"/>
  <c r="W338"/>
  <c r="V338"/>
  <c r="U338"/>
  <c r="T338"/>
  <c r="S338"/>
  <c r="R338"/>
  <c r="Q338"/>
  <c r="P338"/>
  <c r="O338"/>
  <c r="N338"/>
  <c r="M338"/>
  <c r="L338"/>
  <c r="K338"/>
  <c r="J338"/>
  <c r="I338"/>
  <c r="H338"/>
  <c r="G338"/>
  <c r="F338"/>
  <c r="E338"/>
  <c r="D338"/>
  <c r="C338"/>
  <c r="B338"/>
  <c r="A338"/>
  <c r="CJ337"/>
  <c r="CI337"/>
  <c r="CH337"/>
  <c r="CG337"/>
  <c r="CF337"/>
  <c r="CE337"/>
  <c r="CD337"/>
  <c r="CC337"/>
  <c r="CB337"/>
  <c r="CA337"/>
  <c r="BZ337"/>
  <c r="BY337"/>
  <c r="BX337"/>
  <c r="BW337"/>
  <c r="BV337"/>
  <c r="BU337"/>
  <c r="BT337"/>
  <c r="BS337"/>
  <c r="BR337"/>
  <c r="BQ337"/>
  <c r="BP337"/>
  <c r="BO337"/>
  <c r="BN337"/>
  <c r="BM337"/>
  <c r="BL337"/>
  <c r="BK337"/>
  <c r="BJ337"/>
  <c r="BI337"/>
  <c r="BH337"/>
  <c r="BG337"/>
  <c r="BF337"/>
  <c r="BE337"/>
  <c r="BD337"/>
  <c r="BC337"/>
  <c r="BB337"/>
  <c r="BA337"/>
  <c r="AZ337"/>
  <c r="AY337"/>
  <c r="AX337"/>
  <c r="AW337"/>
  <c r="AV337"/>
  <c r="AU337"/>
  <c r="AT337"/>
  <c r="AS337"/>
  <c r="AR337"/>
  <c r="AQ337"/>
  <c r="AP337"/>
  <c r="AO337"/>
  <c r="AN337"/>
  <c r="AM337"/>
  <c r="AL337"/>
  <c r="AK337"/>
  <c r="AJ337"/>
  <c r="AI337"/>
  <c r="AH337"/>
  <c r="AG337"/>
  <c r="AF337"/>
  <c r="AE337"/>
  <c r="AD337"/>
  <c r="AC337"/>
  <c r="AB337"/>
  <c r="AA337"/>
  <c r="Z337"/>
  <c r="Y337"/>
  <c r="X337"/>
  <c r="W337"/>
  <c r="V337"/>
  <c r="U337"/>
  <c r="T337"/>
  <c r="S337"/>
  <c r="R337"/>
  <c r="Q337"/>
  <c r="P337"/>
  <c r="O337"/>
  <c r="N337"/>
  <c r="M337"/>
  <c r="L337"/>
  <c r="K337"/>
  <c r="J337"/>
  <c r="I337"/>
  <c r="H337"/>
  <c r="G337"/>
  <c r="F337"/>
  <c r="E337"/>
  <c r="D337"/>
  <c r="C337"/>
  <c r="B337"/>
  <c r="A337"/>
  <c r="CJ336"/>
  <c r="CI336"/>
  <c r="CH336"/>
  <c r="CG336"/>
  <c r="CF336"/>
  <c r="CE336"/>
  <c r="CD336"/>
  <c r="CC336"/>
  <c r="CB336"/>
  <c r="CA336"/>
  <c r="BZ336"/>
  <c r="BY336"/>
  <c r="BX336"/>
  <c r="BW336"/>
  <c r="BV336"/>
  <c r="BU336"/>
  <c r="BT336"/>
  <c r="BS336"/>
  <c r="BR336"/>
  <c r="BQ336"/>
  <c r="BP336"/>
  <c r="BO336"/>
  <c r="BN336"/>
  <c r="BM336"/>
  <c r="BL336"/>
  <c r="BK336"/>
  <c r="BJ336"/>
  <c r="BI336"/>
  <c r="BH336"/>
  <c r="BG336"/>
  <c r="BF336"/>
  <c r="BE336"/>
  <c r="BD336"/>
  <c r="BC336"/>
  <c r="BB336"/>
  <c r="BA336"/>
  <c r="AZ336"/>
  <c r="AY336"/>
  <c r="AX336"/>
  <c r="AW336"/>
  <c r="AV336"/>
  <c r="AU336"/>
  <c r="AT336"/>
  <c r="AS336"/>
  <c r="AR336"/>
  <c r="AQ336"/>
  <c r="AP336"/>
  <c r="AO336"/>
  <c r="AN336"/>
  <c r="AM336"/>
  <c r="AL336"/>
  <c r="AK336"/>
  <c r="AJ336"/>
  <c r="AI336"/>
  <c r="AH336"/>
  <c r="AG336"/>
  <c r="AF336"/>
  <c r="AE336"/>
  <c r="AD336"/>
  <c r="AC336"/>
  <c r="AB336"/>
  <c r="AA336"/>
  <c r="Z336"/>
  <c r="Y336"/>
  <c r="X336"/>
  <c r="W336"/>
  <c r="V336"/>
  <c r="U336"/>
  <c r="T336"/>
  <c r="S336"/>
  <c r="R336"/>
  <c r="Q336"/>
  <c r="P336"/>
  <c r="O336"/>
  <c r="N336"/>
  <c r="M336"/>
  <c r="L336"/>
  <c r="K336"/>
  <c r="J336"/>
  <c r="I336"/>
  <c r="H336"/>
  <c r="G336"/>
  <c r="F336"/>
  <c r="E336"/>
  <c r="D336"/>
  <c r="C336"/>
  <c r="B336"/>
  <c r="A336"/>
  <c r="CJ335"/>
  <c r="CI335"/>
  <c r="CH335"/>
  <c r="CG335"/>
  <c r="CF335"/>
  <c r="CE335"/>
  <c r="CD335"/>
  <c r="CC335"/>
  <c r="CB335"/>
  <c r="CA335"/>
  <c r="BZ335"/>
  <c r="BY335"/>
  <c r="BX335"/>
  <c r="BW335"/>
  <c r="BV335"/>
  <c r="BU335"/>
  <c r="BT335"/>
  <c r="BS335"/>
  <c r="BR335"/>
  <c r="BQ335"/>
  <c r="BP335"/>
  <c r="BO335"/>
  <c r="BN335"/>
  <c r="BM335"/>
  <c r="BL335"/>
  <c r="BK335"/>
  <c r="BJ335"/>
  <c r="BI335"/>
  <c r="BH335"/>
  <c r="BG335"/>
  <c r="BF335"/>
  <c r="BE335"/>
  <c r="BD335"/>
  <c r="BC335"/>
  <c r="BB335"/>
  <c r="BA335"/>
  <c r="AZ335"/>
  <c r="AY335"/>
  <c r="AX335"/>
  <c r="AW335"/>
  <c r="AV335"/>
  <c r="AU335"/>
  <c r="AT335"/>
  <c r="AS335"/>
  <c r="AR335"/>
  <c r="AQ335"/>
  <c r="AP335"/>
  <c r="AO335"/>
  <c r="AN335"/>
  <c r="AM335"/>
  <c r="AL335"/>
  <c r="AK335"/>
  <c r="AJ335"/>
  <c r="AI335"/>
  <c r="AH335"/>
  <c r="AG335"/>
  <c r="AF335"/>
  <c r="AE335"/>
  <c r="AD335"/>
  <c r="AC335"/>
  <c r="AB335"/>
  <c r="AA335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H335"/>
  <c r="G335"/>
  <c r="F335"/>
  <c r="E335"/>
  <c r="D335"/>
  <c r="C335"/>
  <c r="B335"/>
  <c r="A335"/>
  <c r="CJ334"/>
  <c r="CI334"/>
  <c r="CH334"/>
  <c r="CG334"/>
  <c r="CF334"/>
  <c r="CE334"/>
  <c r="CD334"/>
  <c r="CC334"/>
  <c r="CB334"/>
  <c r="CA334"/>
  <c r="BZ334"/>
  <c r="BY334"/>
  <c r="BX334"/>
  <c r="BW334"/>
  <c r="BV334"/>
  <c r="BU334"/>
  <c r="BT334"/>
  <c r="BS334"/>
  <c r="BR334"/>
  <c r="BQ334"/>
  <c r="BP334"/>
  <c r="BO334"/>
  <c r="BN334"/>
  <c r="BM334"/>
  <c r="BL334"/>
  <c r="BK334"/>
  <c r="BJ334"/>
  <c r="BI334"/>
  <c r="BH334"/>
  <c r="BG334"/>
  <c r="BF334"/>
  <c r="BE334"/>
  <c r="BD334"/>
  <c r="BC334"/>
  <c r="BB334"/>
  <c r="BA334"/>
  <c r="AZ334"/>
  <c r="AY334"/>
  <c r="AX334"/>
  <c r="AW334"/>
  <c r="AV334"/>
  <c r="AU334"/>
  <c r="AT334"/>
  <c r="AS334"/>
  <c r="AR334"/>
  <c r="AQ334"/>
  <c r="AP334"/>
  <c r="AO334"/>
  <c r="AN334"/>
  <c r="AM334"/>
  <c r="AL334"/>
  <c r="AK334"/>
  <c r="AJ334"/>
  <c r="AI334"/>
  <c r="AH334"/>
  <c r="AG334"/>
  <c r="AF334"/>
  <c r="AE334"/>
  <c r="AD334"/>
  <c r="AC334"/>
  <c r="AB334"/>
  <c r="AA334"/>
  <c r="Z334"/>
  <c r="Y334"/>
  <c r="X334"/>
  <c r="W334"/>
  <c r="V334"/>
  <c r="U334"/>
  <c r="T334"/>
  <c r="S334"/>
  <c r="R334"/>
  <c r="Q334"/>
  <c r="P334"/>
  <c r="O334"/>
  <c r="N334"/>
  <c r="M334"/>
  <c r="L334"/>
  <c r="K334"/>
  <c r="J334"/>
  <c r="I334"/>
  <c r="H334"/>
  <c r="G334"/>
  <c r="F334"/>
  <c r="E334"/>
  <c r="D334"/>
  <c r="C334"/>
  <c r="B334"/>
  <c r="A334"/>
  <c r="CJ333"/>
  <c r="CI333"/>
  <c r="CH333"/>
  <c r="CG333"/>
  <c r="CF333"/>
  <c r="CE333"/>
  <c r="CD333"/>
  <c r="CC333"/>
  <c r="CB333"/>
  <c r="CA333"/>
  <c r="BZ333"/>
  <c r="BY333"/>
  <c r="BX333"/>
  <c r="BW333"/>
  <c r="BV333"/>
  <c r="BU333"/>
  <c r="BT333"/>
  <c r="BS333"/>
  <c r="BR333"/>
  <c r="BQ333"/>
  <c r="BP333"/>
  <c r="BO333"/>
  <c r="BN333"/>
  <c r="BM333"/>
  <c r="BL333"/>
  <c r="BK333"/>
  <c r="BJ333"/>
  <c r="BI333"/>
  <c r="BH333"/>
  <c r="BG333"/>
  <c r="BF333"/>
  <c r="BE333"/>
  <c r="BD333"/>
  <c r="BC333"/>
  <c r="BB333"/>
  <c r="BA333"/>
  <c r="AZ333"/>
  <c r="AY333"/>
  <c r="AX333"/>
  <c r="AW333"/>
  <c r="AV333"/>
  <c r="AU333"/>
  <c r="AT333"/>
  <c r="AS333"/>
  <c r="AR333"/>
  <c r="AQ333"/>
  <c r="AP333"/>
  <c r="AO333"/>
  <c r="AN333"/>
  <c r="AM333"/>
  <c r="AL333"/>
  <c r="AK333"/>
  <c r="AJ333"/>
  <c r="AI333"/>
  <c r="AH333"/>
  <c r="AG333"/>
  <c r="AF333"/>
  <c r="AE333"/>
  <c r="AD333"/>
  <c r="AC333"/>
  <c r="AB333"/>
  <c r="AA333"/>
  <c r="Z333"/>
  <c r="Y333"/>
  <c r="X333"/>
  <c r="W333"/>
  <c r="V333"/>
  <c r="U333"/>
  <c r="T333"/>
  <c r="S333"/>
  <c r="R333"/>
  <c r="Q333"/>
  <c r="P333"/>
  <c r="O333"/>
  <c r="N333"/>
  <c r="M333"/>
  <c r="L333"/>
  <c r="K333"/>
  <c r="J333"/>
  <c r="I333"/>
  <c r="H333"/>
  <c r="G333"/>
  <c r="F333"/>
  <c r="E333"/>
  <c r="D333"/>
  <c r="C333"/>
  <c r="B333"/>
  <c r="A333"/>
  <c r="CJ332"/>
  <c r="CI332"/>
  <c r="CH332"/>
  <c r="CG332"/>
  <c r="CF332"/>
  <c r="CE332"/>
  <c r="CD332"/>
  <c r="CC332"/>
  <c r="CB332"/>
  <c r="CA332"/>
  <c r="BZ332"/>
  <c r="BY332"/>
  <c r="BX332"/>
  <c r="BW332"/>
  <c r="BV332"/>
  <c r="BU332"/>
  <c r="BT332"/>
  <c r="BS332"/>
  <c r="BR332"/>
  <c r="BQ332"/>
  <c r="BP332"/>
  <c r="BO332"/>
  <c r="BN332"/>
  <c r="BM332"/>
  <c r="BL332"/>
  <c r="BK332"/>
  <c r="BJ332"/>
  <c r="BI332"/>
  <c r="BH332"/>
  <c r="BG332"/>
  <c r="BF332"/>
  <c r="BE332"/>
  <c r="BD332"/>
  <c r="BC332"/>
  <c r="BB332"/>
  <c r="BA332"/>
  <c r="AZ332"/>
  <c r="AY332"/>
  <c r="AX332"/>
  <c r="AW332"/>
  <c r="AV332"/>
  <c r="AU332"/>
  <c r="AT332"/>
  <c r="AS332"/>
  <c r="AR332"/>
  <c r="AQ332"/>
  <c r="AP332"/>
  <c r="AO332"/>
  <c r="AN332"/>
  <c r="AM332"/>
  <c r="AL332"/>
  <c r="AK332"/>
  <c r="AJ332"/>
  <c r="AI332"/>
  <c r="AH332"/>
  <c r="AG332"/>
  <c r="AF332"/>
  <c r="AE332"/>
  <c r="AD332"/>
  <c r="AC332"/>
  <c r="AB332"/>
  <c r="AA332"/>
  <c r="Z332"/>
  <c r="Y332"/>
  <c r="X332"/>
  <c r="W332"/>
  <c r="V332"/>
  <c r="U332"/>
  <c r="T332"/>
  <c r="S332"/>
  <c r="R332"/>
  <c r="Q332"/>
  <c r="P332"/>
  <c r="O332"/>
  <c r="N332"/>
  <c r="M332"/>
  <c r="L332"/>
  <c r="K332"/>
  <c r="J332"/>
  <c r="I332"/>
  <c r="H332"/>
  <c r="G332"/>
  <c r="F332"/>
  <c r="E332"/>
  <c r="D332"/>
  <c r="C332"/>
  <c r="B332"/>
  <c r="A332"/>
  <c r="CJ331"/>
  <c r="CI331"/>
  <c r="CH331"/>
  <c r="CG331"/>
  <c r="CF331"/>
  <c r="CE331"/>
  <c r="CD331"/>
  <c r="CC331"/>
  <c r="CB331"/>
  <c r="CA331"/>
  <c r="BZ331"/>
  <c r="BY331"/>
  <c r="BX331"/>
  <c r="BW331"/>
  <c r="BV331"/>
  <c r="BU331"/>
  <c r="BT331"/>
  <c r="BS331"/>
  <c r="BR331"/>
  <c r="BQ331"/>
  <c r="BP331"/>
  <c r="BO331"/>
  <c r="BN331"/>
  <c r="BM331"/>
  <c r="BL331"/>
  <c r="BK331"/>
  <c r="BJ331"/>
  <c r="BI331"/>
  <c r="BH331"/>
  <c r="BG331"/>
  <c r="BF331"/>
  <c r="BE331"/>
  <c r="BD331"/>
  <c r="BC331"/>
  <c r="BB331"/>
  <c r="BA331"/>
  <c r="AZ331"/>
  <c r="AY331"/>
  <c r="AX331"/>
  <c r="AW331"/>
  <c r="AV331"/>
  <c r="AU331"/>
  <c r="AT331"/>
  <c r="AS331"/>
  <c r="AR331"/>
  <c r="AQ331"/>
  <c r="AP331"/>
  <c r="AO331"/>
  <c r="AN331"/>
  <c r="AM331"/>
  <c r="AL331"/>
  <c r="AK331"/>
  <c r="AJ331"/>
  <c r="AI331"/>
  <c r="AH331"/>
  <c r="AG331"/>
  <c r="AF331"/>
  <c r="AE331"/>
  <c r="AD331"/>
  <c r="AC331"/>
  <c r="AB331"/>
  <c r="AA331"/>
  <c r="Z331"/>
  <c r="Y331"/>
  <c r="X331"/>
  <c r="W331"/>
  <c r="V331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D331"/>
  <c r="C331"/>
  <c r="B331"/>
  <c r="A331"/>
  <c r="CJ330"/>
  <c r="CI330"/>
  <c r="CH330"/>
  <c r="CG330"/>
  <c r="CF330"/>
  <c r="CE330"/>
  <c r="CD330"/>
  <c r="CC330"/>
  <c r="CB330"/>
  <c r="CA330"/>
  <c r="BZ330"/>
  <c r="BY330"/>
  <c r="BX330"/>
  <c r="BW330"/>
  <c r="BV330"/>
  <c r="BU330"/>
  <c r="BT330"/>
  <c r="BS330"/>
  <c r="BR330"/>
  <c r="BQ330"/>
  <c r="BP330"/>
  <c r="BO330"/>
  <c r="BN330"/>
  <c r="BM330"/>
  <c r="BL330"/>
  <c r="BK330"/>
  <c r="BJ330"/>
  <c r="BI330"/>
  <c r="BH330"/>
  <c r="BG330"/>
  <c r="BF330"/>
  <c r="BE330"/>
  <c r="BD330"/>
  <c r="BC330"/>
  <c r="BB330"/>
  <c r="BA330"/>
  <c r="AZ330"/>
  <c r="AY330"/>
  <c r="AX330"/>
  <c r="AW330"/>
  <c r="AV330"/>
  <c r="AU330"/>
  <c r="AT330"/>
  <c r="AS330"/>
  <c r="AR330"/>
  <c r="AQ330"/>
  <c r="AP330"/>
  <c r="AO330"/>
  <c r="AN330"/>
  <c r="AM330"/>
  <c r="AL330"/>
  <c r="AK330"/>
  <c r="AJ330"/>
  <c r="AI330"/>
  <c r="AH330"/>
  <c r="AG330"/>
  <c r="AF330"/>
  <c r="AE330"/>
  <c r="AD330"/>
  <c r="AC330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G330"/>
  <c r="F330"/>
  <c r="E330"/>
  <c r="D330"/>
  <c r="C330"/>
  <c r="B330"/>
  <c r="A330"/>
  <c r="CJ329"/>
  <c r="CI329"/>
  <c r="CH329"/>
  <c r="CG329"/>
  <c r="CF329"/>
  <c r="CE329"/>
  <c r="CD329"/>
  <c r="CC329"/>
  <c r="CB329"/>
  <c r="CA329"/>
  <c r="BZ329"/>
  <c r="BY329"/>
  <c r="BX329"/>
  <c r="BW329"/>
  <c r="BV329"/>
  <c r="BU329"/>
  <c r="BT329"/>
  <c r="BS329"/>
  <c r="BR329"/>
  <c r="BQ329"/>
  <c r="BP329"/>
  <c r="BO329"/>
  <c r="BN329"/>
  <c r="BM329"/>
  <c r="BL329"/>
  <c r="BK329"/>
  <c r="BJ329"/>
  <c r="BI329"/>
  <c r="BH329"/>
  <c r="BG329"/>
  <c r="BF329"/>
  <c r="BE329"/>
  <c r="BD329"/>
  <c r="BC329"/>
  <c r="BB329"/>
  <c r="BA329"/>
  <c r="AZ329"/>
  <c r="AY329"/>
  <c r="AX329"/>
  <c r="AW329"/>
  <c r="AV329"/>
  <c r="AU329"/>
  <c r="AT329"/>
  <c r="AS329"/>
  <c r="AR329"/>
  <c r="AQ329"/>
  <c r="AP329"/>
  <c r="AO329"/>
  <c r="AN329"/>
  <c r="AM329"/>
  <c r="AL329"/>
  <c r="AK329"/>
  <c r="AJ329"/>
  <c r="AI329"/>
  <c r="AH329"/>
  <c r="AG329"/>
  <c r="AF329"/>
  <c r="AE329"/>
  <c r="AD329"/>
  <c r="AC329"/>
  <c r="AB329"/>
  <c r="AA329"/>
  <c r="Z329"/>
  <c r="Y329"/>
  <c r="X329"/>
  <c r="W329"/>
  <c r="V329"/>
  <c r="U329"/>
  <c r="T329"/>
  <c r="S329"/>
  <c r="R329"/>
  <c r="Q329"/>
  <c r="P329"/>
  <c r="O329"/>
  <c r="N329"/>
  <c r="M329"/>
  <c r="L329"/>
  <c r="K329"/>
  <c r="J329"/>
  <c r="I329"/>
  <c r="H329"/>
  <c r="G329"/>
  <c r="F329"/>
  <c r="E329"/>
  <c r="D329"/>
  <c r="C329"/>
  <c r="B329"/>
  <c r="A329"/>
  <c r="CJ328"/>
  <c r="CI328"/>
  <c r="CH328"/>
  <c r="CG328"/>
  <c r="CF328"/>
  <c r="CE328"/>
  <c r="CD328"/>
  <c r="CC328"/>
  <c r="CB328"/>
  <c r="CA328"/>
  <c r="BZ328"/>
  <c r="BY328"/>
  <c r="BX328"/>
  <c r="BW328"/>
  <c r="BV328"/>
  <c r="BU328"/>
  <c r="BT328"/>
  <c r="BS328"/>
  <c r="BR328"/>
  <c r="BQ328"/>
  <c r="BP328"/>
  <c r="BO328"/>
  <c r="BN328"/>
  <c r="BM328"/>
  <c r="BL328"/>
  <c r="BK328"/>
  <c r="BJ328"/>
  <c r="BI328"/>
  <c r="BH328"/>
  <c r="BG328"/>
  <c r="BF328"/>
  <c r="BE328"/>
  <c r="BD328"/>
  <c r="BC328"/>
  <c r="BB328"/>
  <c r="BA328"/>
  <c r="AZ328"/>
  <c r="AY328"/>
  <c r="AX328"/>
  <c r="AW328"/>
  <c r="AV328"/>
  <c r="AU328"/>
  <c r="AT328"/>
  <c r="AS328"/>
  <c r="AR328"/>
  <c r="AQ328"/>
  <c r="AP328"/>
  <c r="AO328"/>
  <c r="AN328"/>
  <c r="AM328"/>
  <c r="AL328"/>
  <c r="AK328"/>
  <c r="AJ328"/>
  <c r="AI328"/>
  <c r="AH328"/>
  <c r="AG328"/>
  <c r="AF328"/>
  <c r="AE328"/>
  <c r="AD328"/>
  <c r="AC328"/>
  <c r="AB328"/>
  <c r="AA328"/>
  <c r="Z328"/>
  <c r="Y328"/>
  <c r="X328"/>
  <c r="W328"/>
  <c r="V328"/>
  <c r="U328"/>
  <c r="T328"/>
  <c r="S328"/>
  <c r="R328"/>
  <c r="Q328"/>
  <c r="P328"/>
  <c r="O328"/>
  <c r="N328"/>
  <c r="M328"/>
  <c r="L328"/>
  <c r="K328"/>
  <c r="J328"/>
  <c r="I328"/>
  <c r="H328"/>
  <c r="G328"/>
  <c r="F328"/>
  <c r="E328"/>
  <c r="D328"/>
  <c r="C328"/>
  <c r="B328"/>
  <c r="A328"/>
  <c r="CJ327"/>
  <c r="CI327"/>
  <c r="CH327"/>
  <c r="CG327"/>
  <c r="CF327"/>
  <c r="CE327"/>
  <c r="CD327"/>
  <c r="CC327"/>
  <c r="CB327"/>
  <c r="CA327"/>
  <c r="BZ327"/>
  <c r="BY327"/>
  <c r="BX327"/>
  <c r="BW327"/>
  <c r="BV327"/>
  <c r="BU327"/>
  <c r="BT327"/>
  <c r="BS327"/>
  <c r="BR327"/>
  <c r="BQ327"/>
  <c r="BP327"/>
  <c r="BO327"/>
  <c r="BN327"/>
  <c r="BM327"/>
  <c r="BL327"/>
  <c r="BK327"/>
  <c r="BJ327"/>
  <c r="BI327"/>
  <c r="BH327"/>
  <c r="BG327"/>
  <c r="BF327"/>
  <c r="BE327"/>
  <c r="BD327"/>
  <c r="BC327"/>
  <c r="BB327"/>
  <c r="BA327"/>
  <c r="AZ327"/>
  <c r="AY327"/>
  <c r="AX327"/>
  <c r="AW327"/>
  <c r="AV327"/>
  <c r="AU327"/>
  <c r="AT327"/>
  <c r="AS327"/>
  <c r="AR327"/>
  <c r="AQ327"/>
  <c r="AP327"/>
  <c r="AO327"/>
  <c r="AN327"/>
  <c r="AM327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S327"/>
  <c r="R327"/>
  <c r="Q327"/>
  <c r="P327"/>
  <c r="O327"/>
  <c r="N327"/>
  <c r="M327"/>
  <c r="L327"/>
  <c r="K327"/>
  <c r="J327"/>
  <c r="I327"/>
  <c r="H327"/>
  <c r="G327"/>
  <c r="F327"/>
  <c r="E327"/>
  <c r="D327"/>
  <c r="C327"/>
  <c r="B327"/>
  <c r="A327"/>
  <c r="CJ326"/>
  <c r="CI326"/>
  <c r="CH326"/>
  <c r="CG326"/>
  <c r="CF326"/>
  <c r="CE326"/>
  <c r="CD326"/>
  <c r="CC326"/>
  <c r="CB326"/>
  <c r="CA326"/>
  <c r="BZ326"/>
  <c r="BY326"/>
  <c r="BX326"/>
  <c r="BW326"/>
  <c r="BV326"/>
  <c r="BU326"/>
  <c r="BT326"/>
  <c r="BS326"/>
  <c r="BR326"/>
  <c r="BQ326"/>
  <c r="BP326"/>
  <c r="BO326"/>
  <c r="BN326"/>
  <c r="BM326"/>
  <c r="BL326"/>
  <c r="BK326"/>
  <c r="BJ326"/>
  <c r="BI326"/>
  <c r="BH326"/>
  <c r="BG326"/>
  <c r="BF326"/>
  <c r="BE326"/>
  <c r="BD326"/>
  <c r="BC326"/>
  <c r="BB326"/>
  <c r="BA326"/>
  <c r="AZ326"/>
  <c r="AY326"/>
  <c r="AX326"/>
  <c r="AW326"/>
  <c r="AV326"/>
  <c r="AU326"/>
  <c r="AT326"/>
  <c r="AS326"/>
  <c r="AR326"/>
  <c r="AQ326"/>
  <c r="AP326"/>
  <c r="AO326"/>
  <c r="AN326"/>
  <c r="AM326"/>
  <c r="AL326"/>
  <c r="AK326"/>
  <c r="AJ326"/>
  <c r="AI326"/>
  <c r="AH326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D326"/>
  <c r="C326"/>
  <c r="B326"/>
  <c r="A326"/>
  <c r="CJ325"/>
  <c r="CI325"/>
  <c r="CH325"/>
  <c r="CG325"/>
  <c r="CF325"/>
  <c r="CE325"/>
  <c r="CD325"/>
  <c r="CC325"/>
  <c r="CB325"/>
  <c r="CA325"/>
  <c r="BZ325"/>
  <c r="BY325"/>
  <c r="BX325"/>
  <c r="BW325"/>
  <c r="BV325"/>
  <c r="BU325"/>
  <c r="BT325"/>
  <c r="BS325"/>
  <c r="BR325"/>
  <c r="BQ325"/>
  <c r="BP325"/>
  <c r="BO325"/>
  <c r="BN325"/>
  <c r="BM325"/>
  <c r="BL325"/>
  <c r="BK325"/>
  <c r="BJ325"/>
  <c r="BI325"/>
  <c r="BH325"/>
  <c r="BG325"/>
  <c r="BF325"/>
  <c r="BE325"/>
  <c r="BD325"/>
  <c r="BC325"/>
  <c r="BB325"/>
  <c r="BA325"/>
  <c r="AZ325"/>
  <c r="AY325"/>
  <c r="AX325"/>
  <c r="AW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AE325"/>
  <c r="AD325"/>
  <c r="AC325"/>
  <c r="AB325"/>
  <c r="AA325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I325"/>
  <c r="H325"/>
  <c r="G325"/>
  <c r="F325"/>
  <c r="E325"/>
  <c r="D325"/>
  <c r="C325"/>
  <c r="B325"/>
  <c r="A325"/>
  <c r="CJ324"/>
  <c r="CI324"/>
  <c r="CH324"/>
  <c r="CG324"/>
  <c r="CF324"/>
  <c r="CE324"/>
  <c r="CD324"/>
  <c r="CC324"/>
  <c r="CB324"/>
  <c r="CA324"/>
  <c r="BZ324"/>
  <c r="BY324"/>
  <c r="BX324"/>
  <c r="BW324"/>
  <c r="BV324"/>
  <c r="BU324"/>
  <c r="BT324"/>
  <c r="BS324"/>
  <c r="BR324"/>
  <c r="BQ324"/>
  <c r="BP324"/>
  <c r="BO324"/>
  <c r="BN324"/>
  <c r="BM324"/>
  <c r="BL324"/>
  <c r="BK324"/>
  <c r="BJ324"/>
  <c r="BI324"/>
  <c r="BH324"/>
  <c r="BG324"/>
  <c r="BF324"/>
  <c r="BE324"/>
  <c r="BD324"/>
  <c r="BC324"/>
  <c r="BB324"/>
  <c r="BA324"/>
  <c r="AZ324"/>
  <c r="AY324"/>
  <c r="AX324"/>
  <c r="AW324"/>
  <c r="AV324"/>
  <c r="AU324"/>
  <c r="AT324"/>
  <c r="AS324"/>
  <c r="AR324"/>
  <c r="AQ324"/>
  <c r="AP324"/>
  <c r="AO324"/>
  <c r="AN324"/>
  <c r="AM324"/>
  <c r="AL324"/>
  <c r="AK324"/>
  <c r="AJ324"/>
  <c r="AI324"/>
  <c r="AH324"/>
  <c r="AG324"/>
  <c r="AF324"/>
  <c r="AE324"/>
  <c r="AD324"/>
  <c r="AC324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J324"/>
  <c r="I324"/>
  <c r="H324"/>
  <c r="G324"/>
  <c r="F324"/>
  <c r="E324"/>
  <c r="D324"/>
  <c r="C324"/>
  <c r="B324"/>
  <c r="A324"/>
  <c r="CJ323"/>
  <c r="CI323"/>
  <c r="CH323"/>
  <c r="CG323"/>
  <c r="CF323"/>
  <c r="CE323"/>
  <c r="CD323"/>
  <c r="CC323"/>
  <c r="CB323"/>
  <c r="CA323"/>
  <c r="BZ323"/>
  <c r="BY323"/>
  <c r="BX323"/>
  <c r="BW323"/>
  <c r="BV323"/>
  <c r="BU323"/>
  <c r="BT323"/>
  <c r="BS323"/>
  <c r="BR323"/>
  <c r="BQ323"/>
  <c r="BP323"/>
  <c r="BO323"/>
  <c r="BN323"/>
  <c r="BM323"/>
  <c r="BL323"/>
  <c r="BK323"/>
  <c r="BJ323"/>
  <c r="BI323"/>
  <c r="BH323"/>
  <c r="BG323"/>
  <c r="BF323"/>
  <c r="BE323"/>
  <c r="BD323"/>
  <c r="BC323"/>
  <c r="BB323"/>
  <c r="BA323"/>
  <c r="AZ323"/>
  <c r="AY323"/>
  <c r="AX323"/>
  <c r="AW323"/>
  <c r="AV323"/>
  <c r="AU323"/>
  <c r="AT323"/>
  <c r="AS323"/>
  <c r="AR323"/>
  <c r="AQ323"/>
  <c r="AP323"/>
  <c r="AO323"/>
  <c r="AN323"/>
  <c r="AM323"/>
  <c r="AL323"/>
  <c r="AK323"/>
  <c r="AJ323"/>
  <c r="AI323"/>
  <c r="AH323"/>
  <c r="AG323"/>
  <c r="AF323"/>
  <c r="AE323"/>
  <c r="AD323"/>
  <c r="AC323"/>
  <c r="AB323"/>
  <c r="AA323"/>
  <c r="Z323"/>
  <c r="Y323"/>
  <c r="X323"/>
  <c r="W323"/>
  <c r="V323"/>
  <c r="U323"/>
  <c r="T323"/>
  <c r="S323"/>
  <c r="R323"/>
  <c r="Q323"/>
  <c r="P323"/>
  <c r="O323"/>
  <c r="N323"/>
  <c r="M323"/>
  <c r="L323"/>
  <c r="K323"/>
  <c r="J323"/>
  <c r="I323"/>
  <c r="H323"/>
  <c r="G323"/>
  <c r="F323"/>
  <c r="E323"/>
  <c r="D323"/>
  <c r="C323"/>
  <c r="B323"/>
  <c r="A323"/>
  <c r="CJ322"/>
  <c r="CI322"/>
  <c r="CH322"/>
  <c r="CG322"/>
  <c r="CF322"/>
  <c r="CE322"/>
  <c r="CD322"/>
  <c r="CC322"/>
  <c r="CB322"/>
  <c r="CA322"/>
  <c r="BZ322"/>
  <c r="BY322"/>
  <c r="BX322"/>
  <c r="BW322"/>
  <c r="BV322"/>
  <c r="BU322"/>
  <c r="BT322"/>
  <c r="BS322"/>
  <c r="BR322"/>
  <c r="BQ322"/>
  <c r="BP322"/>
  <c r="BO322"/>
  <c r="BN322"/>
  <c r="BM322"/>
  <c r="BL322"/>
  <c r="BK322"/>
  <c r="BJ322"/>
  <c r="BI322"/>
  <c r="BH322"/>
  <c r="BG322"/>
  <c r="BF322"/>
  <c r="BE322"/>
  <c r="BD322"/>
  <c r="BC322"/>
  <c r="BB322"/>
  <c r="BA322"/>
  <c r="AZ322"/>
  <c r="AY322"/>
  <c r="AX322"/>
  <c r="AW322"/>
  <c r="AV322"/>
  <c r="AU322"/>
  <c r="AT322"/>
  <c r="AS322"/>
  <c r="AR322"/>
  <c r="AQ322"/>
  <c r="AP322"/>
  <c r="AO322"/>
  <c r="AN322"/>
  <c r="AM322"/>
  <c r="AL322"/>
  <c r="AK322"/>
  <c r="AJ322"/>
  <c r="AI322"/>
  <c r="AH322"/>
  <c r="AG322"/>
  <c r="AF322"/>
  <c r="AE322"/>
  <c r="AD322"/>
  <c r="AC322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J322"/>
  <c r="I322"/>
  <c r="H322"/>
  <c r="G322"/>
  <c r="F322"/>
  <c r="E322"/>
  <c r="D322"/>
  <c r="C322"/>
  <c r="B322"/>
  <c r="A322"/>
  <c r="CJ321"/>
  <c r="CI321"/>
  <c r="CH321"/>
  <c r="CG321"/>
  <c r="CF321"/>
  <c r="CE321"/>
  <c r="CD321"/>
  <c r="CC321"/>
  <c r="CB321"/>
  <c r="CA321"/>
  <c r="BZ321"/>
  <c r="BY321"/>
  <c r="BX321"/>
  <c r="BW321"/>
  <c r="BV321"/>
  <c r="BU321"/>
  <c r="BT321"/>
  <c r="BS321"/>
  <c r="BR321"/>
  <c r="BQ321"/>
  <c r="BP321"/>
  <c r="BO321"/>
  <c r="BN321"/>
  <c r="BM321"/>
  <c r="BL321"/>
  <c r="BK321"/>
  <c r="BJ321"/>
  <c r="BI321"/>
  <c r="BH321"/>
  <c r="BG321"/>
  <c r="BF321"/>
  <c r="BE321"/>
  <c r="BD321"/>
  <c r="BC321"/>
  <c r="BB321"/>
  <c r="BA321"/>
  <c r="AZ321"/>
  <c r="AY321"/>
  <c r="AX321"/>
  <c r="AW321"/>
  <c r="AV321"/>
  <c r="AU321"/>
  <c r="AT321"/>
  <c r="AS321"/>
  <c r="AR321"/>
  <c r="AQ321"/>
  <c r="AP321"/>
  <c r="AO321"/>
  <c r="AN321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D321"/>
  <c r="C321"/>
  <c r="B321"/>
  <c r="A321"/>
  <c r="CJ320"/>
  <c r="CI320"/>
  <c r="CH320"/>
  <c r="CG320"/>
  <c r="CF320"/>
  <c r="CE320"/>
  <c r="CD320"/>
  <c r="CC320"/>
  <c r="CB320"/>
  <c r="CA320"/>
  <c r="BZ320"/>
  <c r="BY320"/>
  <c r="BX320"/>
  <c r="BW320"/>
  <c r="BV320"/>
  <c r="BU320"/>
  <c r="BT320"/>
  <c r="BS320"/>
  <c r="BR320"/>
  <c r="BQ320"/>
  <c r="BP320"/>
  <c r="BO320"/>
  <c r="BN320"/>
  <c r="BM320"/>
  <c r="BL320"/>
  <c r="BK320"/>
  <c r="BJ320"/>
  <c r="BI320"/>
  <c r="BH320"/>
  <c r="BG320"/>
  <c r="BF320"/>
  <c r="BE320"/>
  <c r="BD320"/>
  <c r="BC320"/>
  <c r="BB320"/>
  <c r="BA320"/>
  <c r="AZ320"/>
  <c r="AY320"/>
  <c r="AX320"/>
  <c r="AW320"/>
  <c r="AV320"/>
  <c r="AU320"/>
  <c r="AT320"/>
  <c r="AS320"/>
  <c r="AR320"/>
  <c r="AQ320"/>
  <c r="AP320"/>
  <c r="AO320"/>
  <c r="AN320"/>
  <c r="AM320"/>
  <c r="AL320"/>
  <c r="AK320"/>
  <c r="AJ320"/>
  <c r="AI320"/>
  <c r="AH320"/>
  <c r="AG320"/>
  <c r="AF320"/>
  <c r="AE320"/>
  <c r="AD320"/>
  <c r="AC320"/>
  <c r="AB320"/>
  <c r="AA320"/>
  <c r="Z320"/>
  <c r="Y320"/>
  <c r="X320"/>
  <c r="W320"/>
  <c r="V320"/>
  <c r="U320"/>
  <c r="T320"/>
  <c r="S320"/>
  <c r="R320"/>
  <c r="Q320"/>
  <c r="P320"/>
  <c r="O320"/>
  <c r="N320"/>
  <c r="M320"/>
  <c r="L320"/>
  <c r="K320"/>
  <c r="J320"/>
  <c r="I320"/>
  <c r="H320"/>
  <c r="G320"/>
  <c r="F320"/>
  <c r="E320"/>
  <c r="D320"/>
  <c r="C320"/>
  <c r="B320"/>
  <c r="A320"/>
  <c r="CJ319"/>
  <c r="CI319"/>
  <c r="CH319"/>
  <c r="CG319"/>
  <c r="CF319"/>
  <c r="CE319"/>
  <c r="CD319"/>
  <c r="CC319"/>
  <c r="CB319"/>
  <c r="CA319"/>
  <c r="BZ319"/>
  <c r="BY319"/>
  <c r="BX319"/>
  <c r="BW319"/>
  <c r="BV319"/>
  <c r="BU319"/>
  <c r="BT319"/>
  <c r="BS319"/>
  <c r="BR319"/>
  <c r="BQ319"/>
  <c r="BP319"/>
  <c r="BO319"/>
  <c r="BN319"/>
  <c r="BM319"/>
  <c r="BL319"/>
  <c r="BK319"/>
  <c r="BJ319"/>
  <c r="BI319"/>
  <c r="BH319"/>
  <c r="BG319"/>
  <c r="BF319"/>
  <c r="BE319"/>
  <c r="BD319"/>
  <c r="BC319"/>
  <c r="BB319"/>
  <c r="BA319"/>
  <c r="AZ319"/>
  <c r="AY319"/>
  <c r="AX319"/>
  <c r="AW319"/>
  <c r="AV319"/>
  <c r="AU319"/>
  <c r="AT319"/>
  <c r="AS319"/>
  <c r="AR319"/>
  <c r="AQ319"/>
  <c r="AP319"/>
  <c r="AO319"/>
  <c r="AN319"/>
  <c r="AM319"/>
  <c r="AL319"/>
  <c r="AK319"/>
  <c r="AJ319"/>
  <c r="AI319"/>
  <c r="AH319"/>
  <c r="AG319"/>
  <c r="AF319"/>
  <c r="AE319"/>
  <c r="AD319"/>
  <c r="AC319"/>
  <c r="AB319"/>
  <c r="AA319"/>
  <c r="Z319"/>
  <c r="Y319"/>
  <c r="X319"/>
  <c r="W319"/>
  <c r="V319"/>
  <c r="U319"/>
  <c r="T319"/>
  <c r="S319"/>
  <c r="R319"/>
  <c r="Q319"/>
  <c r="P319"/>
  <c r="O319"/>
  <c r="N319"/>
  <c r="M319"/>
  <c r="L319"/>
  <c r="K319"/>
  <c r="J319"/>
  <c r="I319"/>
  <c r="H319"/>
  <c r="G319"/>
  <c r="F319"/>
  <c r="E319"/>
  <c r="D319"/>
  <c r="C319"/>
  <c r="B319"/>
  <c r="A319"/>
  <c r="CJ318"/>
  <c r="CI318"/>
  <c r="CH318"/>
  <c r="CG318"/>
  <c r="CF318"/>
  <c r="CE318"/>
  <c r="CD318"/>
  <c r="CC318"/>
  <c r="CB318"/>
  <c r="CA318"/>
  <c r="BZ318"/>
  <c r="BY318"/>
  <c r="BX318"/>
  <c r="BW318"/>
  <c r="BV318"/>
  <c r="BU318"/>
  <c r="BT318"/>
  <c r="BS318"/>
  <c r="BR318"/>
  <c r="BQ318"/>
  <c r="BP318"/>
  <c r="BO318"/>
  <c r="BN318"/>
  <c r="BM318"/>
  <c r="BL318"/>
  <c r="BK318"/>
  <c r="BJ318"/>
  <c r="BI318"/>
  <c r="BH318"/>
  <c r="BG318"/>
  <c r="BF318"/>
  <c r="BE318"/>
  <c r="BD318"/>
  <c r="BC318"/>
  <c r="BB318"/>
  <c r="BA318"/>
  <c r="AZ318"/>
  <c r="AY318"/>
  <c r="AX318"/>
  <c r="AW318"/>
  <c r="AV318"/>
  <c r="AU318"/>
  <c r="AT318"/>
  <c r="AS318"/>
  <c r="AR318"/>
  <c r="AQ318"/>
  <c r="AP318"/>
  <c r="AO318"/>
  <c r="AN318"/>
  <c r="AM318"/>
  <c r="AL318"/>
  <c r="AK318"/>
  <c r="AJ318"/>
  <c r="AI318"/>
  <c r="AH318"/>
  <c r="AG318"/>
  <c r="AF318"/>
  <c r="AE318"/>
  <c r="AD318"/>
  <c r="AC318"/>
  <c r="AB318"/>
  <c r="AA318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I318"/>
  <c r="H318"/>
  <c r="G318"/>
  <c r="F318"/>
  <c r="E318"/>
  <c r="D318"/>
  <c r="C318"/>
  <c r="B318"/>
  <c r="A318"/>
  <c r="CJ317"/>
  <c r="CI317"/>
  <c r="CH317"/>
  <c r="CG317"/>
  <c r="CF317"/>
  <c r="CE317"/>
  <c r="CD317"/>
  <c r="CC317"/>
  <c r="CB317"/>
  <c r="CA317"/>
  <c r="BZ317"/>
  <c r="BY317"/>
  <c r="BX317"/>
  <c r="BW317"/>
  <c r="BV317"/>
  <c r="BU317"/>
  <c r="BT317"/>
  <c r="BS317"/>
  <c r="BR317"/>
  <c r="BQ317"/>
  <c r="BP317"/>
  <c r="BO317"/>
  <c r="BN317"/>
  <c r="BM317"/>
  <c r="BL317"/>
  <c r="BK317"/>
  <c r="BJ317"/>
  <c r="BI317"/>
  <c r="BH317"/>
  <c r="BG317"/>
  <c r="BF317"/>
  <c r="BE317"/>
  <c r="BD317"/>
  <c r="BC317"/>
  <c r="BB317"/>
  <c r="BA317"/>
  <c r="AZ317"/>
  <c r="AY317"/>
  <c r="AX317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D317"/>
  <c r="C317"/>
  <c r="B317"/>
  <c r="A317"/>
  <c r="CJ316"/>
  <c r="CI316"/>
  <c r="CH316"/>
  <c r="CG316"/>
  <c r="CF316"/>
  <c r="CE316"/>
  <c r="CD316"/>
  <c r="CC316"/>
  <c r="CB316"/>
  <c r="CA316"/>
  <c r="BZ316"/>
  <c r="BY316"/>
  <c r="BX316"/>
  <c r="BW316"/>
  <c r="BV316"/>
  <c r="BU316"/>
  <c r="BT316"/>
  <c r="BS316"/>
  <c r="BR316"/>
  <c r="BQ316"/>
  <c r="BP316"/>
  <c r="BO316"/>
  <c r="BN316"/>
  <c r="BM316"/>
  <c r="BL316"/>
  <c r="BK316"/>
  <c r="BJ316"/>
  <c r="BI316"/>
  <c r="BH316"/>
  <c r="BG316"/>
  <c r="BF316"/>
  <c r="BE316"/>
  <c r="BD316"/>
  <c r="BC316"/>
  <c r="BB316"/>
  <c r="BA316"/>
  <c r="AZ316"/>
  <c r="AY316"/>
  <c r="AX316"/>
  <c r="AW316"/>
  <c r="AV316"/>
  <c r="AU316"/>
  <c r="AT316"/>
  <c r="AS316"/>
  <c r="AR316"/>
  <c r="AQ316"/>
  <c r="AP316"/>
  <c r="AO316"/>
  <c r="AN316"/>
  <c r="AM316"/>
  <c r="AL316"/>
  <c r="AK316"/>
  <c r="AJ316"/>
  <c r="AI316"/>
  <c r="AH316"/>
  <c r="AG316"/>
  <c r="AF316"/>
  <c r="AE316"/>
  <c r="AD316"/>
  <c r="AC316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D316"/>
  <c r="C316"/>
  <c r="B316"/>
  <c r="A316"/>
  <c r="CJ315"/>
  <c r="CI315"/>
  <c r="CH315"/>
  <c r="CG315"/>
  <c r="CF315"/>
  <c r="CE315"/>
  <c r="CD315"/>
  <c r="CC315"/>
  <c r="CB315"/>
  <c r="CA315"/>
  <c r="BZ315"/>
  <c r="BY315"/>
  <c r="BX315"/>
  <c r="BW315"/>
  <c r="BV315"/>
  <c r="BU315"/>
  <c r="BT315"/>
  <c r="BS315"/>
  <c r="BR315"/>
  <c r="BQ315"/>
  <c r="BP315"/>
  <c r="BO315"/>
  <c r="BN315"/>
  <c r="BM315"/>
  <c r="BL315"/>
  <c r="BK315"/>
  <c r="BJ315"/>
  <c r="BI315"/>
  <c r="BH315"/>
  <c r="BG315"/>
  <c r="BF315"/>
  <c r="BE315"/>
  <c r="BD315"/>
  <c r="BC315"/>
  <c r="BB315"/>
  <c r="BA315"/>
  <c r="AZ315"/>
  <c r="AY315"/>
  <c r="AX315"/>
  <c r="AW315"/>
  <c r="AV315"/>
  <c r="AU315"/>
  <c r="AT315"/>
  <c r="AS315"/>
  <c r="AR315"/>
  <c r="AQ315"/>
  <c r="AP315"/>
  <c r="AO315"/>
  <c r="AN315"/>
  <c r="AM315"/>
  <c r="AL315"/>
  <c r="AK315"/>
  <c r="AJ315"/>
  <c r="AI315"/>
  <c r="AH315"/>
  <c r="AG315"/>
  <c r="AF315"/>
  <c r="AE315"/>
  <c r="AD315"/>
  <c r="AC315"/>
  <c r="AB315"/>
  <c r="AA315"/>
  <c r="Z315"/>
  <c r="Y315"/>
  <c r="X315"/>
  <c r="W315"/>
  <c r="V315"/>
  <c r="U315"/>
  <c r="T315"/>
  <c r="S315"/>
  <c r="R315"/>
  <c r="Q315"/>
  <c r="P315"/>
  <c r="O315"/>
  <c r="N315"/>
  <c r="M315"/>
  <c r="L315"/>
  <c r="K315"/>
  <c r="J315"/>
  <c r="I315"/>
  <c r="H315"/>
  <c r="G315"/>
  <c r="F315"/>
  <c r="E315"/>
  <c r="D315"/>
  <c r="C315"/>
  <c r="B315"/>
  <c r="A315"/>
  <c r="CJ314"/>
  <c r="CI314"/>
  <c r="CH314"/>
  <c r="CG314"/>
  <c r="CF314"/>
  <c r="CE314"/>
  <c r="CD314"/>
  <c r="CC314"/>
  <c r="CB314"/>
  <c r="CA314"/>
  <c r="BZ314"/>
  <c r="BY314"/>
  <c r="BX314"/>
  <c r="BW314"/>
  <c r="BV314"/>
  <c r="BU314"/>
  <c r="BT314"/>
  <c r="BS314"/>
  <c r="BR314"/>
  <c r="BQ314"/>
  <c r="BP314"/>
  <c r="BO314"/>
  <c r="BN314"/>
  <c r="BM314"/>
  <c r="BL314"/>
  <c r="BK314"/>
  <c r="BJ314"/>
  <c r="BI314"/>
  <c r="BH314"/>
  <c r="BG314"/>
  <c r="BF314"/>
  <c r="BE314"/>
  <c r="BD314"/>
  <c r="BC314"/>
  <c r="BB314"/>
  <c r="BA314"/>
  <c r="AZ314"/>
  <c r="AY314"/>
  <c r="AX314"/>
  <c r="AW314"/>
  <c r="AV314"/>
  <c r="AU314"/>
  <c r="AT314"/>
  <c r="AS314"/>
  <c r="AR314"/>
  <c r="AQ314"/>
  <c r="AP314"/>
  <c r="AO314"/>
  <c r="AN314"/>
  <c r="AM314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D314"/>
  <c r="C314"/>
  <c r="B314"/>
  <c r="A314"/>
  <c r="CJ313"/>
  <c r="CI313"/>
  <c r="CH313"/>
  <c r="CG313"/>
  <c r="CF313"/>
  <c r="CE313"/>
  <c r="CD313"/>
  <c r="CC313"/>
  <c r="CB313"/>
  <c r="CA313"/>
  <c r="BZ313"/>
  <c r="BY313"/>
  <c r="BX313"/>
  <c r="BW313"/>
  <c r="BV313"/>
  <c r="BU313"/>
  <c r="BT313"/>
  <c r="BS313"/>
  <c r="BR313"/>
  <c r="BQ313"/>
  <c r="BP313"/>
  <c r="BO313"/>
  <c r="BN313"/>
  <c r="BM313"/>
  <c r="BL313"/>
  <c r="BK313"/>
  <c r="BJ313"/>
  <c r="BI313"/>
  <c r="BH313"/>
  <c r="BG313"/>
  <c r="BF313"/>
  <c r="BE313"/>
  <c r="BD313"/>
  <c r="BC313"/>
  <c r="BB313"/>
  <c r="BA313"/>
  <c r="AZ313"/>
  <c r="AY313"/>
  <c r="AX313"/>
  <c r="AW313"/>
  <c r="AV313"/>
  <c r="AU313"/>
  <c r="AT313"/>
  <c r="AS313"/>
  <c r="AR313"/>
  <c r="AQ313"/>
  <c r="AP313"/>
  <c r="AO313"/>
  <c r="AN313"/>
  <c r="AM313"/>
  <c r="AL313"/>
  <c r="AK313"/>
  <c r="AJ313"/>
  <c r="AI313"/>
  <c r="AH313"/>
  <c r="AG313"/>
  <c r="AF313"/>
  <c r="AE313"/>
  <c r="AD313"/>
  <c r="AC313"/>
  <c r="AB313"/>
  <c r="AA313"/>
  <c r="Z313"/>
  <c r="Y313"/>
  <c r="X313"/>
  <c r="W313"/>
  <c r="V313"/>
  <c r="U313"/>
  <c r="T313"/>
  <c r="S313"/>
  <c r="R313"/>
  <c r="Q313"/>
  <c r="P313"/>
  <c r="O313"/>
  <c r="N313"/>
  <c r="M313"/>
  <c r="L313"/>
  <c r="K313"/>
  <c r="J313"/>
  <c r="I313"/>
  <c r="H313"/>
  <c r="G313"/>
  <c r="F313"/>
  <c r="E313"/>
  <c r="D313"/>
  <c r="C313"/>
  <c r="B313"/>
  <c r="A313"/>
  <c r="CJ312"/>
  <c r="CI312"/>
  <c r="CH312"/>
  <c r="CG312"/>
  <c r="CF312"/>
  <c r="CE312"/>
  <c r="CD312"/>
  <c r="CC312"/>
  <c r="CB312"/>
  <c r="CA312"/>
  <c r="BZ312"/>
  <c r="BY312"/>
  <c r="BX312"/>
  <c r="BW312"/>
  <c r="BV312"/>
  <c r="BU312"/>
  <c r="BT312"/>
  <c r="BS312"/>
  <c r="BR312"/>
  <c r="BQ312"/>
  <c r="BP312"/>
  <c r="BO312"/>
  <c r="BN312"/>
  <c r="BM312"/>
  <c r="BL312"/>
  <c r="BK312"/>
  <c r="BJ312"/>
  <c r="BI312"/>
  <c r="BH312"/>
  <c r="BG312"/>
  <c r="BF312"/>
  <c r="BE312"/>
  <c r="BD312"/>
  <c r="BC312"/>
  <c r="BB312"/>
  <c r="BA312"/>
  <c r="AZ312"/>
  <c r="AY312"/>
  <c r="AX312"/>
  <c r="AW312"/>
  <c r="AV312"/>
  <c r="AU312"/>
  <c r="AT312"/>
  <c r="AS312"/>
  <c r="AR312"/>
  <c r="AQ312"/>
  <c r="AP312"/>
  <c r="AO312"/>
  <c r="AN312"/>
  <c r="AM312"/>
  <c r="AL312"/>
  <c r="AK312"/>
  <c r="AJ312"/>
  <c r="AI312"/>
  <c r="AH312"/>
  <c r="AG312"/>
  <c r="AF31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D312"/>
  <c r="C312"/>
  <c r="B312"/>
  <c r="A312"/>
  <c r="CJ311"/>
  <c r="CI311"/>
  <c r="CH311"/>
  <c r="CG311"/>
  <c r="CF311"/>
  <c r="CE311"/>
  <c r="CD311"/>
  <c r="CC311"/>
  <c r="CB311"/>
  <c r="CA311"/>
  <c r="BZ311"/>
  <c r="BY311"/>
  <c r="BX311"/>
  <c r="BW311"/>
  <c r="BV311"/>
  <c r="BU311"/>
  <c r="BT311"/>
  <c r="BS311"/>
  <c r="BR311"/>
  <c r="BQ311"/>
  <c r="BP311"/>
  <c r="BO311"/>
  <c r="BN311"/>
  <c r="BM311"/>
  <c r="BL311"/>
  <c r="BK311"/>
  <c r="BJ311"/>
  <c r="BI311"/>
  <c r="BH311"/>
  <c r="BG311"/>
  <c r="BF311"/>
  <c r="BE311"/>
  <c r="BD311"/>
  <c r="BC311"/>
  <c r="BB311"/>
  <c r="BA311"/>
  <c r="AZ311"/>
  <c r="AY311"/>
  <c r="AX311"/>
  <c r="AW311"/>
  <c r="AV311"/>
  <c r="AU311"/>
  <c r="AT311"/>
  <c r="AS311"/>
  <c r="AR311"/>
  <c r="AQ311"/>
  <c r="AP311"/>
  <c r="AO311"/>
  <c r="AN311"/>
  <c r="AM311"/>
  <c r="AL311"/>
  <c r="AK311"/>
  <c r="AJ311"/>
  <c r="AI311"/>
  <c r="AH311"/>
  <c r="AG311"/>
  <c r="AF311"/>
  <c r="AE311"/>
  <c r="AD311"/>
  <c r="AC311"/>
  <c r="AB311"/>
  <c r="AA311"/>
  <c r="Z311"/>
  <c r="Y311"/>
  <c r="X311"/>
  <c r="W311"/>
  <c r="V311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D311"/>
  <c r="C311"/>
  <c r="B311"/>
  <c r="A311"/>
  <c r="CJ310"/>
  <c r="CI310"/>
  <c r="CH310"/>
  <c r="CG310"/>
  <c r="CF310"/>
  <c r="CE310"/>
  <c r="CD310"/>
  <c r="CC310"/>
  <c r="CB310"/>
  <c r="CA310"/>
  <c r="BZ310"/>
  <c r="BY310"/>
  <c r="BX310"/>
  <c r="BW310"/>
  <c r="BV310"/>
  <c r="BU310"/>
  <c r="BT310"/>
  <c r="BS310"/>
  <c r="BR310"/>
  <c r="BQ310"/>
  <c r="BP310"/>
  <c r="BO310"/>
  <c r="BN310"/>
  <c r="BM310"/>
  <c r="BL310"/>
  <c r="BK310"/>
  <c r="BJ310"/>
  <c r="BI310"/>
  <c r="BH310"/>
  <c r="BG310"/>
  <c r="BF310"/>
  <c r="BE310"/>
  <c r="BD310"/>
  <c r="BC310"/>
  <c r="BB310"/>
  <c r="BA310"/>
  <c r="AZ310"/>
  <c r="AY310"/>
  <c r="AX310"/>
  <c r="AW310"/>
  <c r="AV310"/>
  <c r="AU310"/>
  <c r="AT310"/>
  <c r="AS310"/>
  <c r="AR310"/>
  <c r="AQ310"/>
  <c r="AP310"/>
  <c r="AO310"/>
  <c r="AN310"/>
  <c r="AM310"/>
  <c r="AL310"/>
  <c r="AK310"/>
  <c r="AJ310"/>
  <c r="AI310"/>
  <c r="AH310"/>
  <c r="AG310"/>
  <c r="AF310"/>
  <c r="AE310"/>
  <c r="AD310"/>
  <c r="AC310"/>
  <c r="AB310"/>
  <c r="AA310"/>
  <c r="Z310"/>
  <c r="Y310"/>
  <c r="X310"/>
  <c r="W310"/>
  <c r="V310"/>
  <c r="U310"/>
  <c r="T310"/>
  <c r="S310"/>
  <c r="R310"/>
  <c r="Q310"/>
  <c r="P310"/>
  <c r="O310"/>
  <c r="N310"/>
  <c r="M310"/>
  <c r="L310"/>
  <c r="K310"/>
  <c r="J310"/>
  <c r="I310"/>
  <c r="H310"/>
  <c r="G310"/>
  <c r="F310"/>
  <c r="E310"/>
  <c r="D310"/>
  <c r="C310"/>
  <c r="B310"/>
  <c r="A310"/>
  <c r="CJ309"/>
  <c r="CI309"/>
  <c r="CH309"/>
  <c r="CG309"/>
  <c r="CF309"/>
  <c r="CE309"/>
  <c r="CD309"/>
  <c r="CC309"/>
  <c r="CB309"/>
  <c r="CA309"/>
  <c r="BZ309"/>
  <c r="BY309"/>
  <c r="BX309"/>
  <c r="BW309"/>
  <c r="BV309"/>
  <c r="BU309"/>
  <c r="BT309"/>
  <c r="BS309"/>
  <c r="BR309"/>
  <c r="BQ309"/>
  <c r="BP309"/>
  <c r="BO309"/>
  <c r="BN309"/>
  <c r="BM309"/>
  <c r="BL309"/>
  <c r="BK309"/>
  <c r="BJ309"/>
  <c r="BI309"/>
  <c r="BH309"/>
  <c r="BG309"/>
  <c r="BF309"/>
  <c r="BE309"/>
  <c r="BD309"/>
  <c r="BC309"/>
  <c r="BB309"/>
  <c r="BA309"/>
  <c r="AZ309"/>
  <c r="AY309"/>
  <c r="AX309"/>
  <c r="AW309"/>
  <c r="AV309"/>
  <c r="AU309"/>
  <c r="AT309"/>
  <c r="AS309"/>
  <c r="AR309"/>
  <c r="AQ309"/>
  <c r="AP309"/>
  <c r="AO309"/>
  <c r="AN309"/>
  <c r="AM309"/>
  <c r="AL309"/>
  <c r="AK309"/>
  <c r="AJ309"/>
  <c r="AI309"/>
  <c r="AH309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D309"/>
  <c r="C309"/>
  <c r="B309"/>
  <c r="A309"/>
  <c r="CJ308"/>
  <c r="CI308"/>
  <c r="CH308"/>
  <c r="CG308"/>
  <c r="CF308"/>
  <c r="CE308"/>
  <c r="CD308"/>
  <c r="CC308"/>
  <c r="CB308"/>
  <c r="CA308"/>
  <c r="BZ308"/>
  <c r="BY308"/>
  <c r="BX308"/>
  <c r="BW308"/>
  <c r="BV308"/>
  <c r="BU308"/>
  <c r="BT308"/>
  <c r="BS308"/>
  <c r="BR308"/>
  <c r="BQ308"/>
  <c r="BP308"/>
  <c r="BO308"/>
  <c r="BN308"/>
  <c r="BM308"/>
  <c r="BL308"/>
  <c r="BK308"/>
  <c r="BJ308"/>
  <c r="BI308"/>
  <c r="BH308"/>
  <c r="BG308"/>
  <c r="BF308"/>
  <c r="BE308"/>
  <c r="BD308"/>
  <c r="BC308"/>
  <c r="BB308"/>
  <c r="BA308"/>
  <c r="AZ308"/>
  <c r="AY308"/>
  <c r="AX308"/>
  <c r="AW308"/>
  <c r="AV308"/>
  <c r="AU308"/>
  <c r="AT308"/>
  <c r="AS308"/>
  <c r="AR308"/>
  <c r="AQ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D308"/>
  <c r="C308"/>
  <c r="B308"/>
  <c r="A308"/>
  <c r="CJ307"/>
  <c r="CI307"/>
  <c r="CH307"/>
  <c r="CG307"/>
  <c r="CF307"/>
  <c r="CE307"/>
  <c r="CD307"/>
  <c r="CC307"/>
  <c r="CB307"/>
  <c r="CA307"/>
  <c r="BZ307"/>
  <c r="BY307"/>
  <c r="BX307"/>
  <c r="BW307"/>
  <c r="BV307"/>
  <c r="BU307"/>
  <c r="BT307"/>
  <c r="BS307"/>
  <c r="BR307"/>
  <c r="BQ307"/>
  <c r="BP307"/>
  <c r="BO307"/>
  <c r="BN307"/>
  <c r="BM307"/>
  <c r="BL307"/>
  <c r="BK307"/>
  <c r="BJ307"/>
  <c r="BI307"/>
  <c r="BH307"/>
  <c r="BG307"/>
  <c r="BF307"/>
  <c r="BE307"/>
  <c r="BD307"/>
  <c r="BC307"/>
  <c r="BB307"/>
  <c r="BA307"/>
  <c r="AZ307"/>
  <c r="AY307"/>
  <c r="AX307"/>
  <c r="AW307"/>
  <c r="AV307"/>
  <c r="AU307"/>
  <c r="AT307"/>
  <c r="AS307"/>
  <c r="AR307"/>
  <c r="AQ307"/>
  <c r="AP307"/>
  <c r="AO307"/>
  <c r="AN307"/>
  <c r="AM307"/>
  <c r="AL307"/>
  <c r="AK307"/>
  <c r="AJ307"/>
  <c r="AI307"/>
  <c r="AH307"/>
  <c r="AG307"/>
  <c r="AF307"/>
  <c r="AE307"/>
  <c r="AD307"/>
  <c r="AC307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D307"/>
  <c r="C307"/>
  <c r="B307"/>
  <c r="A307"/>
  <c r="CJ306"/>
  <c r="CI306"/>
  <c r="CH306"/>
  <c r="CG306"/>
  <c r="CF306"/>
  <c r="CE306"/>
  <c r="CD306"/>
  <c r="CC306"/>
  <c r="CB306"/>
  <c r="CA306"/>
  <c r="BZ306"/>
  <c r="BY306"/>
  <c r="BX306"/>
  <c r="BW306"/>
  <c r="BV306"/>
  <c r="BU306"/>
  <c r="BT306"/>
  <c r="BS306"/>
  <c r="BR306"/>
  <c r="BQ306"/>
  <c r="BP306"/>
  <c r="BO306"/>
  <c r="BN306"/>
  <c r="BM306"/>
  <c r="BL306"/>
  <c r="BK306"/>
  <c r="BJ306"/>
  <c r="BI306"/>
  <c r="BH306"/>
  <c r="BG306"/>
  <c r="BF306"/>
  <c r="BE306"/>
  <c r="BD306"/>
  <c r="BC306"/>
  <c r="BB306"/>
  <c r="BA306"/>
  <c r="AZ306"/>
  <c r="AY306"/>
  <c r="AX306"/>
  <c r="AW306"/>
  <c r="AV306"/>
  <c r="AU306"/>
  <c r="AT306"/>
  <c r="AS306"/>
  <c r="AR306"/>
  <c r="AQ306"/>
  <c r="AP306"/>
  <c r="AO306"/>
  <c r="AN306"/>
  <c r="AM306"/>
  <c r="AL306"/>
  <c r="AK306"/>
  <c r="AJ306"/>
  <c r="AI306"/>
  <c r="AH306"/>
  <c r="AG306"/>
  <c r="AF306"/>
  <c r="AE306"/>
  <c r="AD306"/>
  <c r="AC306"/>
  <c r="AB306"/>
  <c r="AA306"/>
  <c r="Z306"/>
  <c r="Y306"/>
  <c r="X306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D306"/>
  <c r="C306"/>
  <c r="B306"/>
  <c r="A306"/>
  <c r="CJ305"/>
  <c r="CI305"/>
  <c r="CH305"/>
  <c r="CG305"/>
  <c r="CF305"/>
  <c r="CE305"/>
  <c r="CD305"/>
  <c r="CC305"/>
  <c r="CB305"/>
  <c r="CA305"/>
  <c r="BZ305"/>
  <c r="BY305"/>
  <c r="BX305"/>
  <c r="BW305"/>
  <c r="BV305"/>
  <c r="BU305"/>
  <c r="BT305"/>
  <c r="BS305"/>
  <c r="BR305"/>
  <c r="BQ305"/>
  <c r="BP305"/>
  <c r="BO305"/>
  <c r="BN305"/>
  <c r="BM305"/>
  <c r="BL305"/>
  <c r="BK305"/>
  <c r="BJ305"/>
  <c r="BI305"/>
  <c r="BH305"/>
  <c r="BG305"/>
  <c r="BF305"/>
  <c r="BE305"/>
  <c r="BD305"/>
  <c r="BC305"/>
  <c r="BB305"/>
  <c r="BA305"/>
  <c r="AZ305"/>
  <c r="AY305"/>
  <c r="AX305"/>
  <c r="AW305"/>
  <c r="AV305"/>
  <c r="AU305"/>
  <c r="AT305"/>
  <c r="AS305"/>
  <c r="AR305"/>
  <c r="AQ305"/>
  <c r="AP305"/>
  <c r="AO305"/>
  <c r="AN305"/>
  <c r="AM305"/>
  <c r="AL305"/>
  <c r="AK305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D305"/>
  <c r="C305"/>
  <c r="B305"/>
  <c r="A305"/>
  <c r="CJ304"/>
  <c r="CI304"/>
  <c r="CH304"/>
  <c r="CG304"/>
  <c r="CF304"/>
  <c r="CE304"/>
  <c r="CD304"/>
  <c r="CC304"/>
  <c r="CB304"/>
  <c r="CA304"/>
  <c r="BZ304"/>
  <c r="BY304"/>
  <c r="BX304"/>
  <c r="BW304"/>
  <c r="BV304"/>
  <c r="BU304"/>
  <c r="BT304"/>
  <c r="BS304"/>
  <c r="BR304"/>
  <c r="BQ304"/>
  <c r="BP304"/>
  <c r="BO304"/>
  <c r="BN304"/>
  <c r="BM304"/>
  <c r="BL304"/>
  <c r="BK304"/>
  <c r="BJ304"/>
  <c r="BI304"/>
  <c r="BH304"/>
  <c r="BG304"/>
  <c r="BF304"/>
  <c r="BE304"/>
  <c r="BD304"/>
  <c r="BC304"/>
  <c r="BB304"/>
  <c r="BA304"/>
  <c r="AZ304"/>
  <c r="AY304"/>
  <c r="AX304"/>
  <c r="AW304"/>
  <c r="AV304"/>
  <c r="AU304"/>
  <c r="AT304"/>
  <c r="AS304"/>
  <c r="AR304"/>
  <c r="AQ304"/>
  <c r="AP304"/>
  <c r="AO304"/>
  <c r="AN304"/>
  <c r="AM304"/>
  <c r="AL304"/>
  <c r="AK304"/>
  <c r="AJ304"/>
  <c r="AI304"/>
  <c r="AH304"/>
  <c r="AG304"/>
  <c r="AF304"/>
  <c r="AE304"/>
  <c r="AD304"/>
  <c r="AC304"/>
  <c r="AB304"/>
  <c r="AA304"/>
  <c r="Z304"/>
  <c r="Y304"/>
  <c r="X304"/>
  <c r="W304"/>
  <c r="V304"/>
  <c r="U304"/>
  <c r="T304"/>
  <c r="S304"/>
  <c r="R304"/>
  <c r="Q304"/>
  <c r="P304"/>
  <c r="O304"/>
  <c r="N304"/>
  <c r="M304"/>
  <c r="L304"/>
  <c r="K304"/>
  <c r="J304"/>
  <c r="I304"/>
  <c r="H304"/>
  <c r="G304"/>
  <c r="F304"/>
  <c r="E304"/>
  <c r="D304"/>
  <c r="C304"/>
  <c r="B304"/>
  <c r="A304"/>
  <c r="CJ303"/>
  <c r="CI303"/>
  <c r="CH303"/>
  <c r="CG303"/>
  <c r="CF303"/>
  <c r="CE303"/>
  <c r="CD303"/>
  <c r="CC303"/>
  <c r="CB303"/>
  <c r="CA303"/>
  <c r="BZ303"/>
  <c r="BY303"/>
  <c r="BX303"/>
  <c r="BW303"/>
  <c r="BV303"/>
  <c r="BU303"/>
  <c r="BT303"/>
  <c r="BS303"/>
  <c r="BR303"/>
  <c r="BQ303"/>
  <c r="BP303"/>
  <c r="BO303"/>
  <c r="BN303"/>
  <c r="BM303"/>
  <c r="BL303"/>
  <c r="BK303"/>
  <c r="BJ303"/>
  <c r="BI303"/>
  <c r="BH303"/>
  <c r="BG303"/>
  <c r="BF303"/>
  <c r="BE303"/>
  <c r="BD303"/>
  <c r="BC303"/>
  <c r="BB303"/>
  <c r="BA303"/>
  <c r="AZ303"/>
  <c r="AY303"/>
  <c r="AX303"/>
  <c r="AW303"/>
  <c r="AV303"/>
  <c r="AU303"/>
  <c r="AT303"/>
  <c r="AS303"/>
  <c r="AR303"/>
  <c r="AQ303"/>
  <c r="AP303"/>
  <c r="AO303"/>
  <c r="AN303"/>
  <c r="AM303"/>
  <c r="AL303"/>
  <c r="AK303"/>
  <c r="AJ303"/>
  <c r="AI303"/>
  <c r="AH303"/>
  <c r="AG303"/>
  <c r="AF303"/>
  <c r="AE303"/>
  <c r="AD303"/>
  <c r="AC303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D303"/>
  <c r="C303"/>
  <c r="B303"/>
  <c r="A303"/>
  <c r="CJ302"/>
  <c r="CI302"/>
  <c r="CH302"/>
  <c r="CG302"/>
  <c r="CF302"/>
  <c r="CE302"/>
  <c r="CD302"/>
  <c r="CC302"/>
  <c r="CB302"/>
  <c r="CA302"/>
  <c r="BZ302"/>
  <c r="BY302"/>
  <c r="BX302"/>
  <c r="BW302"/>
  <c r="BV302"/>
  <c r="BU302"/>
  <c r="BT302"/>
  <c r="BS302"/>
  <c r="BR302"/>
  <c r="BQ302"/>
  <c r="BP302"/>
  <c r="BO302"/>
  <c r="BN302"/>
  <c r="BM302"/>
  <c r="BL302"/>
  <c r="BK302"/>
  <c r="BJ302"/>
  <c r="BI302"/>
  <c r="BH302"/>
  <c r="BG302"/>
  <c r="BF302"/>
  <c r="BE302"/>
  <c r="BD302"/>
  <c r="BC302"/>
  <c r="BB302"/>
  <c r="BA302"/>
  <c r="AZ302"/>
  <c r="AY302"/>
  <c r="AX302"/>
  <c r="AW302"/>
  <c r="AV302"/>
  <c r="AU302"/>
  <c r="AT302"/>
  <c r="AS302"/>
  <c r="AR302"/>
  <c r="AQ302"/>
  <c r="AP302"/>
  <c r="AO302"/>
  <c r="AN302"/>
  <c r="AM302"/>
  <c r="AL302"/>
  <c r="AK302"/>
  <c r="AJ302"/>
  <c r="AI302"/>
  <c r="AH302"/>
  <c r="AG302"/>
  <c r="AF302"/>
  <c r="AE302"/>
  <c r="AD302"/>
  <c r="AC302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C302"/>
  <c r="B302"/>
  <c r="A302"/>
  <c r="CJ301"/>
  <c r="CI301"/>
  <c r="CH301"/>
  <c r="CG301"/>
  <c r="CF301"/>
  <c r="CE301"/>
  <c r="CD301"/>
  <c r="CC301"/>
  <c r="CB301"/>
  <c r="CA301"/>
  <c r="BZ301"/>
  <c r="BY301"/>
  <c r="BX301"/>
  <c r="BW301"/>
  <c r="BV301"/>
  <c r="BU301"/>
  <c r="BT301"/>
  <c r="BS301"/>
  <c r="BR301"/>
  <c r="BQ301"/>
  <c r="BP301"/>
  <c r="BO301"/>
  <c r="BN301"/>
  <c r="BM301"/>
  <c r="BL301"/>
  <c r="BK301"/>
  <c r="BJ301"/>
  <c r="BI301"/>
  <c r="BH301"/>
  <c r="BG301"/>
  <c r="BF301"/>
  <c r="BE301"/>
  <c r="BD301"/>
  <c r="BC301"/>
  <c r="BB301"/>
  <c r="BA301"/>
  <c r="AZ301"/>
  <c r="AY301"/>
  <c r="AX301"/>
  <c r="AW301"/>
  <c r="AV301"/>
  <c r="AU301"/>
  <c r="AT301"/>
  <c r="AS301"/>
  <c r="AR301"/>
  <c r="AQ301"/>
  <c r="AP301"/>
  <c r="AO301"/>
  <c r="AN301"/>
  <c r="AM301"/>
  <c r="AL301"/>
  <c r="AK301"/>
  <c r="AJ301"/>
  <c r="AI301"/>
  <c r="AH301"/>
  <c r="AG301"/>
  <c r="AF301"/>
  <c r="AE301"/>
  <c r="AD30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D301"/>
  <c r="C301"/>
  <c r="B301"/>
  <c r="A301"/>
  <c r="CJ300"/>
  <c r="CI300"/>
  <c r="CH300"/>
  <c r="CG300"/>
  <c r="CF300"/>
  <c r="CE300"/>
  <c r="CD300"/>
  <c r="CC300"/>
  <c r="CB300"/>
  <c r="CA300"/>
  <c r="BZ300"/>
  <c r="BY300"/>
  <c r="BX300"/>
  <c r="BW300"/>
  <c r="BV300"/>
  <c r="BU300"/>
  <c r="BT300"/>
  <c r="BS300"/>
  <c r="BR300"/>
  <c r="BQ300"/>
  <c r="BP300"/>
  <c r="BO300"/>
  <c r="BN300"/>
  <c r="BM300"/>
  <c r="BL300"/>
  <c r="BK300"/>
  <c r="BJ300"/>
  <c r="BI300"/>
  <c r="BH300"/>
  <c r="BG300"/>
  <c r="BF300"/>
  <c r="BE300"/>
  <c r="BD300"/>
  <c r="BC300"/>
  <c r="BB300"/>
  <c r="BA300"/>
  <c r="AZ300"/>
  <c r="AY300"/>
  <c r="AX300"/>
  <c r="AW300"/>
  <c r="AV300"/>
  <c r="AU300"/>
  <c r="AT300"/>
  <c r="AS300"/>
  <c r="AR300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D300"/>
  <c r="C300"/>
  <c r="B300"/>
  <c r="A300"/>
  <c r="CJ299"/>
  <c r="CI299"/>
  <c r="CH299"/>
  <c r="CG299"/>
  <c r="CF299"/>
  <c r="CE299"/>
  <c r="CD299"/>
  <c r="CC299"/>
  <c r="CB299"/>
  <c r="CA299"/>
  <c r="BZ299"/>
  <c r="BY299"/>
  <c r="BX299"/>
  <c r="BW299"/>
  <c r="BV299"/>
  <c r="BU299"/>
  <c r="BT299"/>
  <c r="BS299"/>
  <c r="BR299"/>
  <c r="BQ299"/>
  <c r="BP299"/>
  <c r="BO299"/>
  <c r="BN299"/>
  <c r="BM299"/>
  <c r="BL299"/>
  <c r="BK299"/>
  <c r="BJ299"/>
  <c r="BI299"/>
  <c r="BH299"/>
  <c r="BG299"/>
  <c r="BF299"/>
  <c r="BE299"/>
  <c r="BD299"/>
  <c r="BC299"/>
  <c r="BB299"/>
  <c r="BA299"/>
  <c r="AZ299"/>
  <c r="AY299"/>
  <c r="AX299"/>
  <c r="AW299"/>
  <c r="AV299"/>
  <c r="AU299"/>
  <c r="AT299"/>
  <c r="AS299"/>
  <c r="AR299"/>
  <c r="AQ299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D299"/>
  <c r="C299"/>
  <c r="B299"/>
  <c r="A299"/>
  <c r="CJ298"/>
  <c r="CI298"/>
  <c r="CH298"/>
  <c r="CG298"/>
  <c r="CF298"/>
  <c r="CE298"/>
  <c r="CD298"/>
  <c r="CC298"/>
  <c r="CB298"/>
  <c r="CA298"/>
  <c r="BZ298"/>
  <c r="BY298"/>
  <c r="BX298"/>
  <c r="BW298"/>
  <c r="BV298"/>
  <c r="BU298"/>
  <c r="BT298"/>
  <c r="BS298"/>
  <c r="BR298"/>
  <c r="BQ298"/>
  <c r="BP298"/>
  <c r="BO298"/>
  <c r="BN298"/>
  <c r="BM298"/>
  <c r="BL298"/>
  <c r="BK298"/>
  <c r="BJ298"/>
  <c r="BI298"/>
  <c r="BH298"/>
  <c r="BG298"/>
  <c r="BF298"/>
  <c r="BE298"/>
  <c r="BD298"/>
  <c r="BC298"/>
  <c r="BB298"/>
  <c r="BA298"/>
  <c r="AZ298"/>
  <c r="AY298"/>
  <c r="AX298"/>
  <c r="AW298"/>
  <c r="AV298"/>
  <c r="AU298"/>
  <c r="AT298"/>
  <c r="AS298"/>
  <c r="AR298"/>
  <c r="AQ298"/>
  <c r="AP298"/>
  <c r="AO298"/>
  <c r="AN298"/>
  <c r="AM298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C298"/>
  <c r="B298"/>
  <c r="A298"/>
  <c r="CJ297"/>
  <c r="CI297"/>
  <c r="CH297"/>
  <c r="CG297"/>
  <c r="CF297"/>
  <c r="CE297"/>
  <c r="CD297"/>
  <c r="CC297"/>
  <c r="CB297"/>
  <c r="CA297"/>
  <c r="BZ297"/>
  <c r="BY297"/>
  <c r="BX297"/>
  <c r="BW297"/>
  <c r="BV297"/>
  <c r="BU297"/>
  <c r="BT297"/>
  <c r="BS297"/>
  <c r="BR297"/>
  <c r="BQ297"/>
  <c r="BP297"/>
  <c r="BO297"/>
  <c r="BN297"/>
  <c r="BM297"/>
  <c r="BL297"/>
  <c r="BK297"/>
  <c r="BJ297"/>
  <c r="BI297"/>
  <c r="BH297"/>
  <c r="BG297"/>
  <c r="BF297"/>
  <c r="BE297"/>
  <c r="BD297"/>
  <c r="BC297"/>
  <c r="BB297"/>
  <c r="BA297"/>
  <c r="AZ297"/>
  <c r="AY297"/>
  <c r="AX297"/>
  <c r="AW297"/>
  <c r="AV297"/>
  <c r="AU297"/>
  <c r="AT297"/>
  <c r="AS297"/>
  <c r="AR297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D297"/>
  <c r="C297"/>
  <c r="B297"/>
  <c r="A297"/>
  <c r="CJ296"/>
  <c r="CI296"/>
  <c r="CH296"/>
  <c r="CG296"/>
  <c r="CF296"/>
  <c r="CE296"/>
  <c r="CD296"/>
  <c r="CC296"/>
  <c r="CB296"/>
  <c r="CA296"/>
  <c r="BZ296"/>
  <c r="BY296"/>
  <c r="BX296"/>
  <c r="BW296"/>
  <c r="BV296"/>
  <c r="BU296"/>
  <c r="BT296"/>
  <c r="BS296"/>
  <c r="BR296"/>
  <c r="BQ296"/>
  <c r="BP296"/>
  <c r="BO296"/>
  <c r="BN296"/>
  <c r="BM296"/>
  <c r="BL296"/>
  <c r="BK296"/>
  <c r="BJ296"/>
  <c r="BI296"/>
  <c r="BH296"/>
  <c r="BG296"/>
  <c r="BF296"/>
  <c r="BE296"/>
  <c r="BD296"/>
  <c r="BC296"/>
  <c r="BB296"/>
  <c r="BA296"/>
  <c r="AZ296"/>
  <c r="AY296"/>
  <c r="AX296"/>
  <c r="AW296"/>
  <c r="AV296"/>
  <c r="AU296"/>
  <c r="AT296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D296"/>
  <c r="C296"/>
  <c r="B296"/>
  <c r="A296"/>
  <c r="CJ295"/>
  <c r="CI295"/>
  <c r="CH295"/>
  <c r="CG295"/>
  <c r="CF295"/>
  <c r="CE295"/>
  <c r="CD295"/>
  <c r="CC295"/>
  <c r="CB295"/>
  <c r="CA295"/>
  <c r="BZ295"/>
  <c r="BY295"/>
  <c r="BX295"/>
  <c r="BW295"/>
  <c r="BV295"/>
  <c r="BU295"/>
  <c r="BT295"/>
  <c r="BS295"/>
  <c r="BR295"/>
  <c r="BQ295"/>
  <c r="BP295"/>
  <c r="BO295"/>
  <c r="BN295"/>
  <c r="BM295"/>
  <c r="BL295"/>
  <c r="BK295"/>
  <c r="BJ295"/>
  <c r="BI295"/>
  <c r="BH295"/>
  <c r="BG295"/>
  <c r="BF295"/>
  <c r="BE295"/>
  <c r="BD295"/>
  <c r="BC295"/>
  <c r="BB295"/>
  <c r="BA295"/>
  <c r="AZ295"/>
  <c r="AY295"/>
  <c r="AX295"/>
  <c r="AW295"/>
  <c r="AV295"/>
  <c r="AU295"/>
  <c r="AT295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D295"/>
  <c r="C295"/>
  <c r="B295"/>
  <c r="A295"/>
  <c r="CJ294"/>
  <c r="CI294"/>
  <c r="CH294"/>
  <c r="CG294"/>
  <c r="CF294"/>
  <c r="CE294"/>
  <c r="CD294"/>
  <c r="CC294"/>
  <c r="CB294"/>
  <c r="CA294"/>
  <c r="BZ294"/>
  <c r="BY294"/>
  <c r="BX294"/>
  <c r="BW294"/>
  <c r="BV294"/>
  <c r="BU294"/>
  <c r="BT294"/>
  <c r="BS294"/>
  <c r="BR294"/>
  <c r="BQ294"/>
  <c r="BP294"/>
  <c r="BO294"/>
  <c r="BN294"/>
  <c r="BM294"/>
  <c r="BL294"/>
  <c r="BK294"/>
  <c r="BJ294"/>
  <c r="BI294"/>
  <c r="BH294"/>
  <c r="BG294"/>
  <c r="BF294"/>
  <c r="BE294"/>
  <c r="BD294"/>
  <c r="BC294"/>
  <c r="BB294"/>
  <c r="BA294"/>
  <c r="AZ294"/>
  <c r="AY294"/>
  <c r="AX294"/>
  <c r="AW294"/>
  <c r="AV294"/>
  <c r="AU294"/>
  <c r="AT294"/>
  <c r="AS294"/>
  <c r="AR294"/>
  <c r="AQ294"/>
  <c r="AP294"/>
  <c r="AO294"/>
  <c r="AN294"/>
  <c r="AM294"/>
  <c r="AL294"/>
  <c r="AK294"/>
  <c r="AJ294"/>
  <c r="AI294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D294"/>
  <c r="C294"/>
  <c r="B294"/>
  <c r="A294"/>
  <c r="CJ293"/>
  <c r="CI293"/>
  <c r="CH293"/>
  <c r="CG293"/>
  <c r="CF293"/>
  <c r="CE293"/>
  <c r="CD293"/>
  <c r="CC293"/>
  <c r="CB293"/>
  <c r="CA293"/>
  <c r="BZ293"/>
  <c r="BY293"/>
  <c r="BX293"/>
  <c r="BW293"/>
  <c r="BV293"/>
  <c r="BU293"/>
  <c r="BT293"/>
  <c r="BS293"/>
  <c r="BR293"/>
  <c r="BQ293"/>
  <c r="BP293"/>
  <c r="BO293"/>
  <c r="BN293"/>
  <c r="BM293"/>
  <c r="BL293"/>
  <c r="BK293"/>
  <c r="BJ293"/>
  <c r="BI293"/>
  <c r="BH293"/>
  <c r="BG293"/>
  <c r="BF293"/>
  <c r="BE293"/>
  <c r="BD293"/>
  <c r="BC293"/>
  <c r="BB293"/>
  <c r="BA293"/>
  <c r="AZ293"/>
  <c r="AY293"/>
  <c r="AX293"/>
  <c r="AW293"/>
  <c r="AV293"/>
  <c r="AU293"/>
  <c r="AT293"/>
  <c r="AS293"/>
  <c r="AR293"/>
  <c r="AQ293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D293"/>
  <c r="C293"/>
  <c r="B293"/>
  <c r="A293"/>
  <c r="CJ292"/>
  <c r="CI292"/>
  <c r="CH292"/>
  <c r="CG292"/>
  <c r="CF292"/>
  <c r="CE292"/>
  <c r="CD292"/>
  <c r="CC292"/>
  <c r="CB292"/>
  <c r="CA292"/>
  <c r="BZ292"/>
  <c r="BY292"/>
  <c r="BX292"/>
  <c r="BW292"/>
  <c r="BV292"/>
  <c r="BU292"/>
  <c r="BT292"/>
  <c r="BS292"/>
  <c r="BR292"/>
  <c r="BQ292"/>
  <c r="BP292"/>
  <c r="BO292"/>
  <c r="BN292"/>
  <c r="BM292"/>
  <c r="BL292"/>
  <c r="BK292"/>
  <c r="BJ292"/>
  <c r="BI292"/>
  <c r="BH292"/>
  <c r="BG292"/>
  <c r="BF292"/>
  <c r="BE292"/>
  <c r="BD292"/>
  <c r="BC292"/>
  <c r="BB292"/>
  <c r="BA292"/>
  <c r="AZ292"/>
  <c r="AY292"/>
  <c r="AX292"/>
  <c r="AW292"/>
  <c r="AV292"/>
  <c r="AU292"/>
  <c r="AT292"/>
  <c r="AS292"/>
  <c r="AR292"/>
  <c r="AQ292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D292"/>
  <c r="C292"/>
  <c r="B292"/>
  <c r="A292"/>
  <c r="CJ291"/>
  <c r="CI291"/>
  <c r="CH291"/>
  <c r="CG291"/>
  <c r="CF291"/>
  <c r="CE291"/>
  <c r="CD291"/>
  <c r="CC291"/>
  <c r="CB291"/>
  <c r="CA291"/>
  <c r="BZ291"/>
  <c r="BY291"/>
  <c r="BX291"/>
  <c r="BW291"/>
  <c r="BV291"/>
  <c r="BU291"/>
  <c r="BT291"/>
  <c r="BS291"/>
  <c r="BR291"/>
  <c r="BQ291"/>
  <c r="BP291"/>
  <c r="BO291"/>
  <c r="BN291"/>
  <c r="BM291"/>
  <c r="BL291"/>
  <c r="BK291"/>
  <c r="BJ291"/>
  <c r="BI291"/>
  <c r="BH291"/>
  <c r="BG291"/>
  <c r="BF291"/>
  <c r="BE291"/>
  <c r="BD291"/>
  <c r="BC291"/>
  <c r="BB291"/>
  <c r="BA291"/>
  <c r="AZ291"/>
  <c r="AY291"/>
  <c r="AX291"/>
  <c r="AW291"/>
  <c r="AV291"/>
  <c r="AU291"/>
  <c r="AT291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D291"/>
  <c r="C291"/>
  <c r="B291"/>
  <c r="A291"/>
  <c r="CJ290"/>
  <c r="CI290"/>
  <c r="CH290"/>
  <c r="CG290"/>
  <c r="CF290"/>
  <c r="CE290"/>
  <c r="CD290"/>
  <c r="CC290"/>
  <c r="CB290"/>
  <c r="CA290"/>
  <c r="BZ290"/>
  <c r="BY290"/>
  <c r="BX290"/>
  <c r="BW290"/>
  <c r="BV290"/>
  <c r="BU290"/>
  <c r="BT290"/>
  <c r="BS290"/>
  <c r="BR290"/>
  <c r="BQ290"/>
  <c r="BP290"/>
  <c r="BO290"/>
  <c r="BN290"/>
  <c r="BM290"/>
  <c r="BL290"/>
  <c r="BK290"/>
  <c r="BJ290"/>
  <c r="BI290"/>
  <c r="BH290"/>
  <c r="BG290"/>
  <c r="BF290"/>
  <c r="BE290"/>
  <c r="BD290"/>
  <c r="BC290"/>
  <c r="BB290"/>
  <c r="BA290"/>
  <c r="AZ290"/>
  <c r="AY290"/>
  <c r="AX290"/>
  <c r="AW290"/>
  <c r="AV290"/>
  <c r="AU290"/>
  <c r="AT290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C290"/>
  <c r="B290"/>
  <c r="A290"/>
  <c r="CJ289"/>
  <c r="CI289"/>
  <c r="CH289"/>
  <c r="CG289"/>
  <c r="CF289"/>
  <c r="CE289"/>
  <c r="CD289"/>
  <c r="CC289"/>
  <c r="CB289"/>
  <c r="CA289"/>
  <c r="BZ289"/>
  <c r="BY289"/>
  <c r="BX289"/>
  <c r="BW289"/>
  <c r="BV289"/>
  <c r="BU289"/>
  <c r="BT289"/>
  <c r="BS289"/>
  <c r="BR289"/>
  <c r="BQ289"/>
  <c r="BP289"/>
  <c r="BO289"/>
  <c r="BN289"/>
  <c r="BM289"/>
  <c r="BL289"/>
  <c r="BK289"/>
  <c r="BJ289"/>
  <c r="BI289"/>
  <c r="BH289"/>
  <c r="BG289"/>
  <c r="BF289"/>
  <c r="BE289"/>
  <c r="BD289"/>
  <c r="BC289"/>
  <c r="BB289"/>
  <c r="BA289"/>
  <c r="AZ289"/>
  <c r="AY289"/>
  <c r="AX289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D289"/>
  <c r="C289"/>
  <c r="B289"/>
  <c r="A289"/>
  <c r="CJ288"/>
  <c r="CI288"/>
  <c r="CH288"/>
  <c r="CG288"/>
  <c r="CF288"/>
  <c r="CE288"/>
  <c r="CD288"/>
  <c r="CC288"/>
  <c r="CB288"/>
  <c r="CA288"/>
  <c r="BZ288"/>
  <c r="BY288"/>
  <c r="BX288"/>
  <c r="BW288"/>
  <c r="BV288"/>
  <c r="BU288"/>
  <c r="BT288"/>
  <c r="BS288"/>
  <c r="BR288"/>
  <c r="BQ288"/>
  <c r="BP288"/>
  <c r="BO288"/>
  <c r="BN288"/>
  <c r="BM288"/>
  <c r="BL288"/>
  <c r="BK288"/>
  <c r="BJ288"/>
  <c r="BI288"/>
  <c r="BH288"/>
  <c r="BG288"/>
  <c r="BF288"/>
  <c r="BE288"/>
  <c r="BD288"/>
  <c r="BC288"/>
  <c r="BB288"/>
  <c r="BA288"/>
  <c r="AZ288"/>
  <c r="AY288"/>
  <c r="AX288"/>
  <c r="AW288"/>
  <c r="AV288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D288"/>
  <c r="C288"/>
  <c r="B288"/>
  <c r="A288"/>
  <c r="CJ287"/>
  <c r="CI287"/>
  <c r="CH287"/>
  <c r="CG287"/>
  <c r="CF287"/>
  <c r="CE287"/>
  <c r="CD287"/>
  <c r="CC287"/>
  <c r="CB287"/>
  <c r="CA287"/>
  <c r="BZ287"/>
  <c r="BY287"/>
  <c r="BX287"/>
  <c r="BW287"/>
  <c r="BV287"/>
  <c r="BU287"/>
  <c r="BT287"/>
  <c r="BS287"/>
  <c r="BR287"/>
  <c r="BQ287"/>
  <c r="BP287"/>
  <c r="BO287"/>
  <c r="BN287"/>
  <c r="BM287"/>
  <c r="BL287"/>
  <c r="BK287"/>
  <c r="BJ287"/>
  <c r="BI287"/>
  <c r="BH287"/>
  <c r="BG287"/>
  <c r="BF287"/>
  <c r="BE287"/>
  <c r="BD287"/>
  <c r="BC287"/>
  <c r="BB287"/>
  <c r="BA287"/>
  <c r="AZ287"/>
  <c r="AY287"/>
  <c r="AX287"/>
  <c r="AW287"/>
  <c r="AV287"/>
  <c r="AU287"/>
  <c r="AT287"/>
  <c r="AS287"/>
  <c r="AR287"/>
  <c r="AQ287"/>
  <c r="AP287"/>
  <c r="AO287"/>
  <c r="AN287"/>
  <c r="AM287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D287"/>
  <c r="C287"/>
  <c r="B287"/>
  <c r="A287"/>
  <c r="CJ286"/>
  <c r="CI286"/>
  <c r="CH286"/>
  <c r="CG286"/>
  <c r="CF286"/>
  <c r="CE286"/>
  <c r="CD286"/>
  <c r="CC286"/>
  <c r="CB286"/>
  <c r="CA286"/>
  <c r="BZ286"/>
  <c r="BY286"/>
  <c r="BX286"/>
  <c r="BW286"/>
  <c r="BV286"/>
  <c r="BU286"/>
  <c r="BT286"/>
  <c r="BS286"/>
  <c r="BR286"/>
  <c r="BQ286"/>
  <c r="BP286"/>
  <c r="BO286"/>
  <c r="BN286"/>
  <c r="BM286"/>
  <c r="BL286"/>
  <c r="BK286"/>
  <c r="BJ286"/>
  <c r="BI286"/>
  <c r="BH286"/>
  <c r="BG286"/>
  <c r="BF286"/>
  <c r="BE286"/>
  <c r="BD286"/>
  <c r="BC286"/>
  <c r="BB286"/>
  <c r="BA286"/>
  <c r="AZ286"/>
  <c r="AY286"/>
  <c r="AX286"/>
  <c r="AW286"/>
  <c r="AV286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D286"/>
  <c r="C286"/>
  <c r="B286"/>
  <c r="A286"/>
  <c r="CJ285"/>
  <c r="CI285"/>
  <c r="CH285"/>
  <c r="CG285"/>
  <c r="CF285"/>
  <c r="CE285"/>
  <c r="CD285"/>
  <c r="CC285"/>
  <c r="CB285"/>
  <c r="CA285"/>
  <c r="BZ285"/>
  <c r="BY285"/>
  <c r="BX285"/>
  <c r="BW285"/>
  <c r="BV285"/>
  <c r="BU285"/>
  <c r="BT285"/>
  <c r="BS285"/>
  <c r="BR285"/>
  <c r="BQ285"/>
  <c r="BP285"/>
  <c r="BO285"/>
  <c r="BN285"/>
  <c r="BM285"/>
  <c r="BL285"/>
  <c r="BK285"/>
  <c r="BJ285"/>
  <c r="BI285"/>
  <c r="BH285"/>
  <c r="BG285"/>
  <c r="BF285"/>
  <c r="BE285"/>
  <c r="BD285"/>
  <c r="BC285"/>
  <c r="BB285"/>
  <c r="BA285"/>
  <c r="AZ285"/>
  <c r="AY285"/>
  <c r="AX285"/>
  <c r="AW285"/>
  <c r="AV285"/>
  <c r="AU285"/>
  <c r="AT285"/>
  <c r="AS285"/>
  <c r="AR285"/>
  <c r="AQ285"/>
  <c r="AP285"/>
  <c r="AO285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D285"/>
  <c r="C285"/>
  <c r="B285"/>
  <c r="A285"/>
  <c r="CJ284"/>
  <c r="CI284"/>
  <c r="CH284"/>
  <c r="CG284"/>
  <c r="CF284"/>
  <c r="CE284"/>
  <c r="CD284"/>
  <c r="CC284"/>
  <c r="CB284"/>
  <c r="CA284"/>
  <c r="BZ284"/>
  <c r="BY284"/>
  <c r="BX284"/>
  <c r="BW284"/>
  <c r="BV284"/>
  <c r="BU284"/>
  <c r="BT284"/>
  <c r="BS284"/>
  <c r="BR284"/>
  <c r="BQ284"/>
  <c r="BP284"/>
  <c r="BO284"/>
  <c r="BN284"/>
  <c r="BM284"/>
  <c r="BL284"/>
  <c r="BK284"/>
  <c r="BJ284"/>
  <c r="BI284"/>
  <c r="BH284"/>
  <c r="BG284"/>
  <c r="BF284"/>
  <c r="BE284"/>
  <c r="BD284"/>
  <c r="BC284"/>
  <c r="BB284"/>
  <c r="BA284"/>
  <c r="AZ284"/>
  <c r="AY284"/>
  <c r="AX284"/>
  <c r="AW284"/>
  <c r="AV284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C284"/>
  <c r="B284"/>
  <c r="A284"/>
  <c r="CJ283"/>
  <c r="CI283"/>
  <c r="CH283"/>
  <c r="CG283"/>
  <c r="CF283"/>
  <c r="CE283"/>
  <c r="CD283"/>
  <c r="CC283"/>
  <c r="CB283"/>
  <c r="CA283"/>
  <c r="BZ283"/>
  <c r="BY283"/>
  <c r="BX283"/>
  <c r="BW283"/>
  <c r="BV283"/>
  <c r="BU283"/>
  <c r="BT283"/>
  <c r="BS283"/>
  <c r="BR283"/>
  <c r="BQ283"/>
  <c r="BP283"/>
  <c r="BO283"/>
  <c r="BN283"/>
  <c r="BM283"/>
  <c r="BL283"/>
  <c r="BK283"/>
  <c r="BJ283"/>
  <c r="BI283"/>
  <c r="BH283"/>
  <c r="BG283"/>
  <c r="BF283"/>
  <c r="BE283"/>
  <c r="BD283"/>
  <c r="BC283"/>
  <c r="BB283"/>
  <c r="BA283"/>
  <c r="AZ283"/>
  <c r="AY283"/>
  <c r="AX283"/>
  <c r="AW283"/>
  <c r="AV283"/>
  <c r="AU283"/>
  <c r="AT283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C283"/>
  <c r="B283"/>
  <c r="A283"/>
  <c r="CJ282"/>
  <c r="CI282"/>
  <c r="CH282"/>
  <c r="CG282"/>
  <c r="CF282"/>
  <c r="CE282"/>
  <c r="CD282"/>
  <c r="CC282"/>
  <c r="CB282"/>
  <c r="CA282"/>
  <c r="BZ282"/>
  <c r="BY282"/>
  <c r="BX282"/>
  <c r="BW282"/>
  <c r="BV282"/>
  <c r="BU282"/>
  <c r="BT282"/>
  <c r="BS282"/>
  <c r="BR282"/>
  <c r="BQ282"/>
  <c r="BP282"/>
  <c r="BO282"/>
  <c r="BN282"/>
  <c r="BM282"/>
  <c r="BL282"/>
  <c r="BK282"/>
  <c r="BJ282"/>
  <c r="BI282"/>
  <c r="BH282"/>
  <c r="BG282"/>
  <c r="BF282"/>
  <c r="BE282"/>
  <c r="BD282"/>
  <c r="BC282"/>
  <c r="BB282"/>
  <c r="BA282"/>
  <c r="AZ282"/>
  <c r="AY282"/>
  <c r="AX282"/>
  <c r="AW282"/>
  <c r="AV282"/>
  <c r="AU282"/>
  <c r="AT282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C282"/>
  <c r="B282"/>
  <c r="A282"/>
  <c r="CJ281"/>
  <c r="CI281"/>
  <c r="CH281"/>
  <c r="CG281"/>
  <c r="CF281"/>
  <c r="CE281"/>
  <c r="CD281"/>
  <c r="CC281"/>
  <c r="CB281"/>
  <c r="CA281"/>
  <c r="BZ281"/>
  <c r="BY281"/>
  <c r="BX281"/>
  <c r="BW281"/>
  <c r="BV281"/>
  <c r="BU281"/>
  <c r="BT281"/>
  <c r="BS281"/>
  <c r="BR281"/>
  <c r="BQ281"/>
  <c r="BP281"/>
  <c r="BO281"/>
  <c r="BN281"/>
  <c r="BM281"/>
  <c r="BL281"/>
  <c r="BK281"/>
  <c r="BJ281"/>
  <c r="BI281"/>
  <c r="BH281"/>
  <c r="BG281"/>
  <c r="BF281"/>
  <c r="BE281"/>
  <c r="BD281"/>
  <c r="BC281"/>
  <c r="BB281"/>
  <c r="BA281"/>
  <c r="AZ281"/>
  <c r="AY281"/>
  <c r="AX281"/>
  <c r="AW281"/>
  <c r="AV281"/>
  <c r="AU281"/>
  <c r="AT281"/>
  <c r="AS281"/>
  <c r="AR281"/>
  <c r="AQ281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C281"/>
  <c r="B281"/>
  <c r="A281"/>
  <c r="CJ280"/>
  <c r="CI280"/>
  <c r="CH280"/>
  <c r="CG280"/>
  <c r="CF280"/>
  <c r="CE280"/>
  <c r="CD280"/>
  <c r="CC280"/>
  <c r="CB280"/>
  <c r="CA280"/>
  <c r="BZ280"/>
  <c r="BY280"/>
  <c r="BX280"/>
  <c r="BW280"/>
  <c r="BV280"/>
  <c r="BU280"/>
  <c r="BT280"/>
  <c r="BS280"/>
  <c r="BR280"/>
  <c r="BQ280"/>
  <c r="BP280"/>
  <c r="BO280"/>
  <c r="BN280"/>
  <c r="BM280"/>
  <c r="BL280"/>
  <c r="BK280"/>
  <c r="BJ280"/>
  <c r="BI280"/>
  <c r="BH280"/>
  <c r="BG280"/>
  <c r="BF280"/>
  <c r="BE280"/>
  <c r="BD280"/>
  <c r="BC280"/>
  <c r="BB280"/>
  <c r="BA280"/>
  <c r="AZ280"/>
  <c r="AY280"/>
  <c r="AX280"/>
  <c r="AW280"/>
  <c r="AV280"/>
  <c r="AU280"/>
  <c r="AT280"/>
  <c r="AS280"/>
  <c r="AR280"/>
  <c r="AQ280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C280"/>
  <c r="B280"/>
  <c r="A280"/>
  <c r="CJ279"/>
  <c r="CI279"/>
  <c r="CH279"/>
  <c r="CG279"/>
  <c r="CF279"/>
  <c r="CE279"/>
  <c r="CD279"/>
  <c r="CC279"/>
  <c r="CB279"/>
  <c r="CA279"/>
  <c r="BZ279"/>
  <c r="BY279"/>
  <c r="BX279"/>
  <c r="BW279"/>
  <c r="BV279"/>
  <c r="BU279"/>
  <c r="BT279"/>
  <c r="BS279"/>
  <c r="BR279"/>
  <c r="BQ279"/>
  <c r="BP279"/>
  <c r="BO279"/>
  <c r="BN279"/>
  <c r="BM279"/>
  <c r="BL279"/>
  <c r="BK279"/>
  <c r="BJ279"/>
  <c r="BI279"/>
  <c r="BH279"/>
  <c r="BG279"/>
  <c r="BF279"/>
  <c r="BE279"/>
  <c r="BD279"/>
  <c r="BC279"/>
  <c r="BB279"/>
  <c r="BA279"/>
  <c r="AZ279"/>
  <c r="AY279"/>
  <c r="AX279"/>
  <c r="AW279"/>
  <c r="AV279"/>
  <c r="AU279"/>
  <c r="AT279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C279"/>
  <c r="B279"/>
  <c r="A279"/>
  <c r="CJ278"/>
  <c r="CI278"/>
  <c r="CH278"/>
  <c r="CG278"/>
  <c r="CF278"/>
  <c r="CE278"/>
  <c r="CD278"/>
  <c r="CC278"/>
  <c r="CB278"/>
  <c r="CA278"/>
  <c r="BZ278"/>
  <c r="BY278"/>
  <c r="BX278"/>
  <c r="BW278"/>
  <c r="BV278"/>
  <c r="BU278"/>
  <c r="BT278"/>
  <c r="BS278"/>
  <c r="BR278"/>
  <c r="BQ278"/>
  <c r="BP278"/>
  <c r="BO278"/>
  <c r="BN278"/>
  <c r="BM278"/>
  <c r="BL278"/>
  <c r="BK278"/>
  <c r="BJ278"/>
  <c r="BI278"/>
  <c r="BH278"/>
  <c r="BG278"/>
  <c r="BF278"/>
  <c r="BE278"/>
  <c r="BD278"/>
  <c r="BC278"/>
  <c r="BB278"/>
  <c r="BA278"/>
  <c r="AZ278"/>
  <c r="AY278"/>
  <c r="AX278"/>
  <c r="AW278"/>
  <c r="AV278"/>
  <c r="AU278"/>
  <c r="AT278"/>
  <c r="AS278"/>
  <c r="AR278"/>
  <c r="AQ278"/>
  <c r="AP278"/>
  <c r="AO278"/>
  <c r="AN278"/>
  <c r="AM278"/>
  <c r="AL278"/>
  <c r="AK278"/>
  <c r="AJ278"/>
  <c r="AI278"/>
  <c r="AH278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C278"/>
  <c r="B278"/>
  <c r="A278"/>
  <c r="CJ277"/>
  <c r="CI277"/>
  <c r="CH277"/>
  <c r="CG277"/>
  <c r="CF277"/>
  <c r="CE277"/>
  <c r="CD277"/>
  <c r="CC277"/>
  <c r="CB277"/>
  <c r="CA277"/>
  <c r="BZ277"/>
  <c r="BY277"/>
  <c r="BX277"/>
  <c r="BW277"/>
  <c r="BV277"/>
  <c r="BU277"/>
  <c r="BT277"/>
  <c r="BS277"/>
  <c r="BR277"/>
  <c r="BQ277"/>
  <c r="BP277"/>
  <c r="BO277"/>
  <c r="BN277"/>
  <c r="BM277"/>
  <c r="BL277"/>
  <c r="BK277"/>
  <c r="BJ277"/>
  <c r="BI277"/>
  <c r="BH277"/>
  <c r="BG277"/>
  <c r="BF277"/>
  <c r="BE277"/>
  <c r="BD277"/>
  <c r="BC277"/>
  <c r="BB277"/>
  <c r="BA277"/>
  <c r="AZ277"/>
  <c r="AY277"/>
  <c r="AX277"/>
  <c r="AW277"/>
  <c r="AV277"/>
  <c r="AU277"/>
  <c r="AT277"/>
  <c r="AS277"/>
  <c r="AR277"/>
  <c r="AQ277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C277"/>
  <c r="B277"/>
  <c r="A277"/>
  <c r="CJ276"/>
  <c r="CI276"/>
  <c r="CH276"/>
  <c r="CG276"/>
  <c r="CF276"/>
  <c r="CE276"/>
  <c r="CD276"/>
  <c r="CC276"/>
  <c r="CB276"/>
  <c r="CA276"/>
  <c r="BZ276"/>
  <c r="BY276"/>
  <c r="BX276"/>
  <c r="BW276"/>
  <c r="BV276"/>
  <c r="BU276"/>
  <c r="BT276"/>
  <c r="BS276"/>
  <c r="BR276"/>
  <c r="BQ276"/>
  <c r="BP276"/>
  <c r="BO276"/>
  <c r="BN276"/>
  <c r="BM276"/>
  <c r="BL276"/>
  <c r="BK276"/>
  <c r="BJ276"/>
  <c r="BI276"/>
  <c r="BH276"/>
  <c r="BG276"/>
  <c r="BF276"/>
  <c r="BE276"/>
  <c r="BD276"/>
  <c r="BC276"/>
  <c r="BB276"/>
  <c r="BA276"/>
  <c r="AZ276"/>
  <c r="AY276"/>
  <c r="AX276"/>
  <c r="AW276"/>
  <c r="AV276"/>
  <c r="AU276"/>
  <c r="AT276"/>
  <c r="AS276"/>
  <c r="AR276"/>
  <c r="AQ276"/>
  <c r="AP276"/>
  <c r="AO276"/>
  <c r="AN276"/>
  <c r="AM276"/>
  <c r="AL276"/>
  <c r="AK276"/>
  <c r="AJ276"/>
  <c r="AI276"/>
  <c r="AH276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C276"/>
  <c r="B276"/>
  <c r="A276"/>
  <c r="CJ275"/>
  <c r="CI275"/>
  <c r="CH275"/>
  <c r="CG275"/>
  <c r="CF275"/>
  <c r="CE275"/>
  <c r="CD275"/>
  <c r="CC275"/>
  <c r="CB275"/>
  <c r="CA275"/>
  <c r="BZ275"/>
  <c r="BY275"/>
  <c r="BX275"/>
  <c r="BW275"/>
  <c r="BV275"/>
  <c r="BU275"/>
  <c r="BT275"/>
  <c r="BS275"/>
  <c r="BR275"/>
  <c r="BQ275"/>
  <c r="BP275"/>
  <c r="BO275"/>
  <c r="BN275"/>
  <c r="BM275"/>
  <c r="BL275"/>
  <c r="BK275"/>
  <c r="BJ275"/>
  <c r="BI275"/>
  <c r="BH275"/>
  <c r="BG275"/>
  <c r="BF275"/>
  <c r="BE275"/>
  <c r="BD275"/>
  <c r="BC275"/>
  <c r="BB275"/>
  <c r="BA275"/>
  <c r="AZ275"/>
  <c r="AY275"/>
  <c r="AX275"/>
  <c r="AW275"/>
  <c r="AV275"/>
  <c r="AU275"/>
  <c r="AT275"/>
  <c r="AS275"/>
  <c r="AR275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C275"/>
  <c r="B275"/>
  <c r="A275"/>
  <c r="CJ274"/>
  <c r="CI274"/>
  <c r="CH274"/>
  <c r="CG274"/>
  <c r="CF274"/>
  <c r="CE274"/>
  <c r="CD274"/>
  <c r="CC274"/>
  <c r="CB274"/>
  <c r="CA274"/>
  <c r="BZ274"/>
  <c r="BY274"/>
  <c r="BX274"/>
  <c r="BW274"/>
  <c r="BV274"/>
  <c r="BU274"/>
  <c r="BT274"/>
  <c r="BS274"/>
  <c r="BR274"/>
  <c r="BQ274"/>
  <c r="BP274"/>
  <c r="BO274"/>
  <c r="BN274"/>
  <c r="BM274"/>
  <c r="BL274"/>
  <c r="BK274"/>
  <c r="BJ274"/>
  <c r="BI274"/>
  <c r="BH274"/>
  <c r="BG274"/>
  <c r="BF274"/>
  <c r="BE274"/>
  <c r="BD274"/>
  <c r="BC274"/>
  <c r="BB274"/>
  <c r="BA274"/>
  <c r="AZ274"/>
  <c r="AY274"/>
  <c r="AX274"/>
  <c r="AW274"/>
  <c r="AV274"/>
  <c r="AU274"/>
  <c r="AT274"/>
  <c r="AS274"/>
  <c r="AR274"/>
  <c r="AQ274"/>
  <c r="AP274"/>
  <c r="AO274"/>
  <c r="AN274"/>
  <c r="AM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C274"/>
  <c r="B274"/>
  <c r="A274"/>
  <c r="CJ273"/>
  <c r="CI273"/>
  <c r="CH273"/>
  <c r="CG273"/>
  <c r="CF273"/>
  <c r="CE273"/>
  <c r="CD273"/>
  <c r="CC273"/>
  <c r="CB273"/>
  <c r="CA273"/>
  <c r="BZ273"/>
  <c r="BY273"/>
  <c r="BX273"/>
  <c r="BW273"/>
  <c r="BV273"/>
  <c r="BU273"/>
  <c r="BT273"/>
  <c r="BS273"/>
  <c r="BR273"/>
  <c r="BQ273"/>
  <c r="BP273"/>
  <c r="BO273"/>
  <c r="BN273"/>
  <c r="BM273"/>
  <c r="BL273"/>
  <c r="BK273"/>
  <c r="BJ273"/>
  <c r="BI273"/>
  <c r="BH273"/>
  <c r="BG273"/>
  <c r="BF273"/>
  <c r="BE273"/>
  <c r="BD273"/>
  <c r="BC273"/>
  <c r="BB273"/>
  <c r="BA273"/>
  <c r="AZ273"/>
  <c r="AY273"/>
  <c r="AX273"/>
  <c r="AW273"/>
  <c r="AV273"/>
  <c r="AU273"/>
  <c r="AT273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D273"/>
  <c r="C273"/>
  <c r="B273"/>
  <c r="A273"/>
  <c r="CJ272"/>
  <c r="CI272"/>
  <c r="CH272"/>
  <c r="CG272"/>
  <c r="CF272"/>
  <c r="CE272"/>
  <c r="CD272"/>
  <c r="CC272"/>
  <c r="CB272"/>
  <c r="CA272"/>
  <c r="BZ272"/>
  <c r="BY272"/>
  <c r="BX272"/>
  <c r="BW272"/>
  <c r="BV272"/>
  <c r="BU272"/>
  <c r="BT272"/>
  <c r="BS272"/>
  <c r="BR272"/>
  <c r="BQ272"/>
  <c r="BP272"/>
  <c r="BO272"/>
  <c r="BN272"/>
  <c r="BM272"/>
  <c r="BL272"/>
  <c r="BK272"/>
  <c r="BJ272"/>
  <c r="BI272"/>
  <c r="BH272"/>
  <c r="BG272"/>
  <c r="BF272"/>
  <c r="BE272"/>
  <c r="BD272"/>
  <c r="BC272"/>
  <c r="BB272"/>
  <c r="BA272"/>
  <c r="AZ272"/>
  <c r="AY272"/>
  <c r="AX272"/>
  <c r="AW272"/>
  <c r="AV272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D272"/>
  <c r="C272"/>
  <c r="B272"/>
  <c r="A272"/>
  <c r="CJ271"/>
  <c r="CI271"/>
  <c r="CH271"/>
  <c r="CG271"/>
  <c r="CF271"/>
  <c r="CE271"/>
  <c r="CD271"/>
  <c r="CC271"/>
  <c r="CB271"/>
  <c r="CA271"/>
  <c r="BZ271"/>
  <c r="BY271"/>
  <c r="BX271"/>
  <c r="BW271"/>
  <c r="BV271"/>
  <c r="BU271"/>
  <c r="BT271"/>
  <c r="BS271"/>
  <c r="BR271"/>
  <c r="BQ271"/>
  <c r="BP271"/>
  <c r="BO271"/>
  <c r="BN271"/>
  <c r="BM271"/>
  <c r="BL271"/>
  <c r="BK271"/>
  <c r="BJ271"/>
  <c r="BI271"/>
  <c r="BH271"/>
  <c r="BG271"/>
  <c r="BF271"/>
  <c r="BE271"/>
  <c r="BD271"/>
  <c r="BC271"/>
  <c r="BB271"/>
  <c r="BA271"/>
  <c r="AZ271"/>
  <c r="AY271"/>
  <c r="AX271"/>
  <c r="AW271"/>
  <c r="AV271"/>
  <c r="AU271"/>
  <c r="AT271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D271"/>
  <c r="C271"/>
  <c r="B271"/>
  <c r="A271"/>
  <c r="CJ270"/>
  <c r="CI270"/>
  <c r="CH270"/>
  <c r="CG270"/>
  <c r="CF270"/>
  <c r="CE270"/>
  <c r="CD270"/>
  <c r="CC270"/>
  <c r="CB270"/>
  <c r="CA270"/>
  <c r="BZ270"/>
  <c r="BY270"/>
  <c r="BX270"/>
  <c r="BW270"/>
  <c r="BV270"/>
  <c r="BU270"/>
  <c r="BT270"/>
  <c r="BS270"/>
  <c r="BR270"/>
  <c r="BQ270"/>
  <c r="BP270"/>
  <c r="BO270"/>
  <c r="BN270"/>
  <c r="BM270"/>
  <c r="BL270"/>
  <c r="BK270"/>
  <c r="BJ270"/>
  <c r="BI270"/>
  <c r="BH270"/>
  <c r="BG270"/>
  <c r="BF270"/>
  <c r="BE270"/>
  <c r="BD270"/>
  <c r="BC270"/>
  <c r="BB270"/>
  <c r="BA270"/>
  <c r="AZ270"/>
  <c r="AY270"/>
  <c r="AX270"/>
  <c r="AW270"/>
  <c r="AV270"/>
  <c r="AU270"/>
  <c r="AT270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C270"/>
  <c r="B270"/>
  <c r="A270"/>
  <c r="CJ269"/>
  <c r="CI269"/>
  <c r="CH269"/>
  <c r="CG269"/>
  <c r="CF269"/>
  <c r="CE269"/>
  <c r="CD269"/>
  <c r="CC269"/>
  <c r="CB269"/>
  <c r="CA269"/>
  <c r="BZ269"/>
  <c r="BY269"/>
  <c r="BX269"/>
  <c r="BW269"/>
  <c r="BV269"/>
  <c r="BU269"/>
  <c r="BT269"/>
  <c r="BS269"/>
  <c r="BR269"/>
  <c r="BQ269"/>
  <c r="BP269"/>
  <c r="BO269"/>
  <c r="BN269"/>
  <c r="BM269"/>
  <c r="BL269"/>
  <c r="BK269"/>
  <c r="BJ269"/>
  <c r="BI269"/>
  <c r="BH269"/>
  <c r="BG269"/>
  <c r="BF269"/>
  <c r="BE269"/>
  <c r="BD269"/>
  <c r="BC269"/>
  <c r="BB269"/>
  <c r="BA269"/>
  <c r="AZ269"/>
  <c r="AY269"/>
  <c r="AX269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C269"/>
  <c r="B269"/>
  <c r="A269"/>
  <c r="CJ268"/>
  <c r="CI268"/>
  <c r="CH268"/>
  <c r="CG268"/>
  <c r="CF268"/>
  <c r="CE268"/>
  <c r="CD268"/>
  <c r="CC268"/>
  <c r="CB268"/>
  <c r="CA268"/>
  <c r="BZ268"/>
  <c r="BY268"/>
  <c r="BX268"/>
  <c r="BW268"/>
  <c r="BV268"/>
  <c r="BU268"/>
  <c r="BT268"/>
  <c r="BS268"/>
  <c r="BR268"/>
  <c r="BQ268"/>
  <c r="BP268"/>
  <c r="BO268"/>
  <c r="BN268"/>
  <c r="BM268"/>
  <c r="BL268"/>
  <c r="BK268"/>
  <c r="BJ268"/>
  <c r="BI268"/>
  <c r="BH268"/>
  <c r="BG268"/>
  <c r="BF268"/>
  <c r="BE268"/>
  <c r="BD268"/>
  <c r="BC268"/>
  <c r="BB268"/>
  <c r="BA268"/>
  <c r="AZ268"/>
  <c r="AY268"/>
  <c r="AX268"/>
  <c r="AW268"/>
  <c r="AV268"/>
  <c r="AU268"/>
  <c r="AT268"/>
  <c r="AS268"/>
  <c r="AR268"/>
  <c r="AQ268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C268"/>
  <c r="B268"/>
  <c r="A268"/>
  <c r="CJ267"/>
  <c r="CI267"/>
  <c r="CH267"/>
  <c r="CG267"/>
  <c r="CF267"/>
  <c r="CE267"/>
  <c r="CD267"/>
  <c r="CC267"/>
  <c r="CB267"/>
  <c r="CA267"/>
  <c r="BZ267"/>
  <c r="BY267"/>
  <c r="BX267"/>
  <c r="BW267"/>
  <c r="BV267"/>
  <c r="BU267"/>
  <c r="BT267"/>
  <c r="BS267"/>
  <c r="BR267"/>
  <c r="BQ267"/>
  <c r="BP267"/>
  <c r="BO267"/>
  <c r="BN267"/>
  <c r="BM267"/>
  <c r="BL267"/>
  <c r="BK267"/>
  <c r="BJ267"/>
  <c r="BI267"/>
  <c r="BH267"/>
  <c r="BG267"/>
  <c r="BF267"/>
  <c r="BE267"/>
  <c r="BD267"/>
  <c r="BC267"/>
  <c r="BB267"/>
  <c r="BA267"/>
  <c r="AZ267"/>
  <c r="AY267"/>
  <c r="AX267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C267"/>
  <c r="B267"/>
  <c r="A267"/>
  <c r="CJ266"/>
  <c r="CI266"/>
  <c r="CH266"/>
  <c r="CG266"/>
  <c r="CF266"/>
  <c r="CE266"/>
  <c r="CD266"/>
  <c r="CC266"/>
  <c r="CB266"/>
  <c r="CA266"/>
  <c r="BZ266"/>
  <c r="BY266"/>
  <c r="BX266"/>
  <c r="BW266"/>
  <c r="BV266"/>
  <c r="BU266"/>
  <c r="BT266"/>
  <c r="BS266"/>
  <c r="BR266"/>
  <c r="BQ266"/>
  <c r="BP266"/>
  <c r="BO266"/>
  <c r="BN266"/>
  <c r="BM266"/>
  <c r="BL266"/>
  <c r="BK266"/>
  <c r="BJ266"/>
  <c r="BI266"/>
  <c r="BH266"/>
  <c r="BG266"/>
  <c r="BF266"/>
  <c r="BE266"/>
  <c r="BD266"/>
  <c r="BC266"/>
  <c r="BB266"/>
  <c r="BA266"/>
  <c r="AZ266"/>
  <c r="AY266"/>
  <c r="AX266"/>
  <c r="AW266"/>
  <c r="AV266"/>
  <c r="AU266"/>
  <c r="AT266"/>
  <c r="AS266"/>
  <c r="AR266"/>
  <c r="AQ266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C266"/>
  <c r="B266"/>
  <c r="A266"/>
  <c r="CJ265"/>
  <c r="CI265"/>
  <c r="CH265"/>
  <c r="CG265"/>
  <c r="CF265"/>
  <c r="CE265"/>
  <c r="CD265"/>
  <c r="CC265"/>
  <c r="CB265"/>
  <c r="CA265"/>
  <c r="BZ265"/>
  <c r="BY265"/>
  <c r="BX265"/>
  <c r="BW265"/>
  <c r="BV265"/>
  <c r="BU265"/>
  <c r="BT265"/>
  <c r="BS265"/>
  <c r="BR265"/>
  <c r="BQ265"/>
  <c r="BP265"/>
  <c r="BO265"/>
  <c r="BN265"/>
  <c r="BM265"/>
  <c r="BL265"/>
  <c r="BK265"/>
  <c r="BJ265"/>
  <c r="BI265"/>
  <c r="BH265"/>
  <c r="BG265"/>
  <c r="BF265"/>
  <c r="BE265"/>
  <c r="BD265"/>
  <c r="BC265"/>
  <c r="BB265"/>
  <c r="BA265"/>
  <c r="AZ265"/>
  <c r="AY265"/>
  <c r="AX265"/>
  <c r="AW265"/>
  <c r="AV265"/>
  <c r="AU265"/>
  <c r="AT265"/>
  <c r="AS265"/>
  <c r="AR265"/>
  <c r="AQ265"/>
  <c r="AP265"/>
  <c r="AO265"/>
  <c r="AN265"/>
  <c r="AM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C265"/>
  <c r="B265"/>
  <c r="A265"/>
  <c r="CJ264"/>
  <c r="CI264"/>
  <c r="CH264"/>
  <c r="CG264"/>
  <c r="CF264"/>
  <c r="CE264"/>
  <c r="CD264"/>
  <c r="CC264"/>
  <c r="CB264"/>
  <c r="CA264"/>
  <c r="BZ264"/>
  <c r="BY264"/>
  <c r="BX264"/>
  <c r="BW264"/>
  <c r="BV264"/>
  <c r="BU264"/>
  <c r="BT264"/>
  <c r="BS264"/>
  <c r="BR264"/>
  <c r="BQ264"/>
  <c r="BP264"/>
  <c r="BO264"/>
  <c r="BN264"/>
  <c r="BM264"/>
  <c r="BL264"/>
  <c r="BK264"/>
  <c r="BJ264"/>
  <c r="BI264"/>
  <c r="BH264"/>
  <c r="BG264"/>
  <c r="BF264"/>
  <c r="BE264"/>
  <c r="BD264"/>
  <c r="BC264"/>
  <c r="BB264"/>
  <c r="BA264"/>
  <c r="AZ264"/>
  <c r="AY264"/>
  <c r="AX264"/>
  <c r="AW264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C264"/>
  <c r="B264"/>
  <c r="A264"/>
  <c r="CJ263"/>
  <c r="CI263"/>
  <c r="CH263"/>
  <c r="CG263"/>
  <c r="CF263"/>
  <c r="CE263"/>
  <c r="CD263"/>
  <c r="CC263"/>
  <c r="CB263"/>
  <c r="CA263"/>
  <c r="BZ263"/>
  <c r="BY263"/>
  <c r="BX263"/>
  <c r="BW263"/>
  <c r="BV263"/>
  <c r="BU263"/>
  <c r="BT263"/>
  <c r="BS263"/>
  <c r="BR263"/>
  <c r="BQ263"/>
  <c r="BP263"/>
  <c r="BO263"/>
  <c r="BN263"/>
  <c r="BM263"/>
  <c r="BL263"/>
  <c r="BK263"/>
  <c r="BJ263"/>
  <c r="BI263"/>
  <c r="BH263"/>
  <c r="BG263"/>
  <c r="BF263"/>
  <c r="BE263"/>
  <c r="BD263"/>
  <c r="BC263"/>
  <c r="BB263"/>
  <c r="BA263"/>
  <c r="AZ263"/>
  <c r="AY263"/>
  <c r="AX263"/>
  <c r="AW263"/>
  <c r="AV263"/>
  <c r="AU263"/>
  <c r="AT263"/>
  <c r="AS263"/>
  <c r="AR263"/>
  <c r="AQ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C263"/>
  <c r="B263"/>
  <c r="A263"/>
  <c r="CJ262"/>
  <c r="CI262"/>
  <c r="CH262"/>
  <c r="CG262"/>
  <c r="CF262"/>
  <c r="CE262"/>
  <c r="CD262"/>
  <c r="CC262"/>
  <c r="CB262"/>
  <c r="CA262"/>
  <c r="BZ262"/>
  <c r="BY262"/>
  <c r="BX262"/>
  <c r="BW262"/>
  <c r="BV262"/>
  <c r="BU262"/>
  <c r="BT262"/>
  <c r="BS262"/>
  <c r="BR262"/>
  <c r="BQ262"/>
  <c r="BP262"/>
  <c r="BO262"/>
  <c r="BN262"/>
  <c r="BM262"/>
  <c r="BL262"/>
  <c r="BK262"/>
  <c r="BJ262"/>
  <c r="BI262"/>
  <c r="BH262"/>
  <c r="BG262"/>
  <c r="BF262"/>
  <c r="BE262"/>
  <c r="BD262"/>
  <c r="BC262"/>
  <c r="BB262"/>
  <c r="BA262"/>
  <c r="AZ262"/>
  <c r="AY262"/>
  <c r="AX262"/>
  <c r="AW262"/>
  <c r="AV262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C262"/>
  <c r="B262"/>
  <c r="A262"/>
  <c r="CJ261"/>
  <c r="CI261"/>
  <c r="CH261"/>
  <c r="CG261"/>
  <c r="CF261"/>
  <c r="CE261"/>
  <c r="CD261"/>
  <c r="CC261"/>
  <c r="CB261"/>
  <c r="CA261"/>
  <c r="BZ261"/>
  <c r="BY261"/>
  <c r="BX261"/>
  <c r="BW261"/>
  <c r="BV261"/>
  <c r="BU261"/>
  <c r="BT261"/>
  <c r="BS261"/>
  <c r="BR261"/>
  <c r="BQ261"/>
  <c r="BP261"/>
  <c r="BO261"/>
  <c r="BN261"/>
  <c r="BM261"/>
  <c r="BL261"/>
  <c r="BK261"/>
  <c r="BJ261"/>
  <c r="BI261"/>
  <c r="BH261"/>
  <c r="BG261"/>
  <c r="BF261"/>
  <c r="BE261"/>
  <c r="BD261"/>
  <c r="BC261"/>
  <c r="BB261"/>
  <c r="BA261"/>
  <c r="AZ261"/>
  <c r="AY261"/>
  <c r="AX261"/>
  <c r="AW261"/>
  <c r="AV261"/>
  <c r="AU261"/>
  <c r="AT261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C261"/>
  <c r="B261"/>
  <c r="A261"/>
  <c r="CJ260"/>
  <c r="CI260"/>
  <c r="CH260"/>
  <c r="CG260"/>
  <c r="CF260"/>
  <c r="CE260"/>
  <c r="CD260"/>
  <c r="CC260"/>
  <c r="CB260"/>
  <c r="CA260"/>
  <c r="BZ260"/>
  <c r="BY260"/>
  <c r="BX260"/>
  <c r="BW260"/>
  <c r="BV260"/>
  <c r="BU260"/>
  <c r="BT260"/>
  <c r="BS260"/>
  <c r="BR260"/>
  <c r="BQ260"/>
  <c r="BP260"/>
  <c r="BO260"/>
  <c r="BN260"/>
  <c r="BM260"/>
  <c r="BL260"/>
  <c r="BK260"/>
  <c r="BJ260"/>
  <c r="BI260"/>
  <c r="BH260"/>
  <c r="BG260"/>
  <c r="BF260"/>
  <c r="BE260"/>
  <c r="BD260"/>
  <c r="BC260"/>
  <c r="BB260"/>
  <c r="BA260"/>
  <c r="AZ260"/>
  <c r="AY260"/>
  <c r="AX260"/>
  <c r="AW260"/>
  <c r="AV260"/>
  <c r="AU260"/>
  <c r="AT260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C260"/>
  <c r="B260"/>
  <c r="A260"/>
  <c r="CJ259"/>
  <c r="CI259"/>
  <c r="CH259"/>
  <c r="CG259"/>
  <c r="CF259"/>
  <c r="CE259"/>
  <c r="CD259"/>
  <c r="CC259"/>
  <c r="CB259"/>
  <c r="CA259"/>
  <c r="BZ259"/>
  <c r="BY259"/>
  <c r="BX259"/>
  <c r="BW259"/>
  <c r="BV259"/>
  <c r="BU259"/>
  <c r="BT259"/>
  <c r="BS259"/>
  <c r="BR259"/>
  <c r="BQ259"/>
  <c r="BP259"/>
  <c r="BO259"/>
  <c r="BN259"/>
  <c r="BM259"/>
  <c r="BL259"/>
  <c r="BK259"/>
  <c r="BJ259"/>
  <c r="BI259"/>
  <c r="BH259"/>
  <c r="BG259"/>
  <c r="BF259"/>
  <c r="BE259"/>
  <c r="BD259"/>
  <c r="BC259"/>
  <c r="BB259"/>
  <c r="BA259"/>
  <c r="AZ259"/>
  <c r="AY259"/>
  <c r="AX259"/>
  <c r="AW259"/>
  <c r="AV259"/>
  <c r="AU259"/>
  <c r="AT259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D259"/>
  <c r="C259"/>
  <c r="B259"/>
  <c r="A259"/>
  <c r="CJ258"/>
  <c r="CI258"/>
  <c r="CH258"/>
  <c r="CG258"/>
  <c r="CF258"/>
  <c r="CE258"/>
  <c r="CD258"/>
  <c r="CC258"/>
  <c r="CB258"/>
  <c r="CA258"/>
  <c r="BZ258"/>
  <c r="BY258"/>
  <c r="BX258"/>
  <c r="BW258"/>
  <c r="BV258"/>
  <c r="BU258"/>
  <c r="BT258"/>
  <c r="BS258"/>
  <c r="BR258"/>
  <c r="BQ258"/>
  <c r="BP258"/>
  <c r="BO258"/>
  <c r="BN258"/>
  <c r="BM258"/>
  <c r="BL258"/>
  <c r="BK258"/>
  <c r="BJ258"/>
  <c r="BI258"/>
  <c r="BH258"/>
  <c r="BG258"/>
  <c r="BF258"/>
  <c r="BE258"/>
  <c r="BD258"/>
  <c r="BC258"/>
  <c r="BB258"/>
  <c r="BA258"/>
  <c r="AZ258"/>
  <c r="AY258"/>
  <c r="AX258"/>
  <c r="AW258"/>
  <c r="AV258"/>
  <c r="AU258"/>
  <c r="AT258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C258"/>
  <c r="B258"/>
  <c r="A258"/>
  <c r="CJ257"/>
  <c r="CI257"/>
  <c r="CH257"/>
  <c r="CG257"/>
  <c r="CF257"/>
  <c r="CE257"/>
  <c r="CD257"/>
  <c r="CC257"/>
  <c r="CB257"/>
  <c r="CA257"/>
  <c r="BZ257"/>
  <c r="BY257"/>
  <c r="BX257"/>
  <c r="BW257"/>
  <c r="BV257"/>
  <c r="BU257"/>
  <c r="BT257"/>
  <c r="BS257"/>
  <c r="BR257"/>
  <c r="BQ257"/>
  <c r="BP257"/>
  <c r="BO257"/>
  <c r="BN257"/>
  <c r="BM257"/>
  <c r="BL257"/>
  <c r="BK257"/>
  <c r="BJ257"/>
  <c r="BI257"/>
  <c r="BH257"/>
  <c r="BG257"/>
  <c r="BF257"/>
  <c r="BE257"/>
  <c r="BD257"/>
  <c r="BC257"/>
  <c r="BB257"/>
  <c r="BA257"/>
  <c r="AZ257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C257"/>
  <c r="B257"/>
  <c r="A257"/>
  <c r="CJ256"/>
  <c r="CI256"/>
  <c r="CH256"/>
  <c r="CG256"/>
  <c r="CF256"/>
  <c r="CE256"/>
  <c r="CD256"/>
  <c r="CC256"/>
  <c r="CB256"/>
  <c r="CA256"/>
  <c r="BZ256"/>
  <c r="BY256"/>
  <c r="BX256"/>
  <c r="BW256"/>
  <c r="BV256"/>
  <c r="BU256"/>
  <c r="BT256"/>
  <c r="BS256"/>
  <c r="BR256"/>
  <c r="BQ256"/>
  <c r="BP256"/>
  <c r="BO256"/>
  <c r="BN256"/>
  <c r="BM256"/>
  <c r="BL256"/>
  <c r="BK256"/>
  <c r="BJ256"/>
  <c r="BI256"/>
  <c r="BH256"/>
  <c r="BG256"/>
  <c r="BF256"/>
  <c r="BE256"/>
  <c r="BD256"/>
  <c r="BC256"/>
  <c r="BB256"/>
  <c r="BA256"/>
  <c r="AZ256"/>
  <c r="AY256"/>
  <c r="AX256"/>
  <c r="AW256"/>
  <c r="AV256"/>
  <c r="AU256"/>
  <c r="AT256"/>
  <c r="AS256"/>
  <c r="AR256"/>
  <c r="AQ256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C256"/>
  <c r="B256"/>
  <c r="A256"/>
  <c r="CJ255"/>
  <c r="CI255"/>
  <c r="CH255"/>
  <c r="CG255"/>
  <c r="CF255"/>
  <c r="CE255"/>
  <c r="CD255"/>
  <c r="CC255"/>
  <c r="CB255"/>
  <c r="CA255"/>
  <c r="BZ255"/>
  <c r="BY255"/>
  <c r="BX255"/>
  <c r="BW255"/>
  <c r="BV255"/>
  <c r="BU255"/>
  <c r="BT255"/>
  <c r="BS255"/>
  <c r="BR255"/>
  <c r="BQ255"/>
  <c r="BP255"/>
  <c r="BO255"/>
  <c r="BN255"/>
  <c r="BM255"/>
  <c r="BL255"/>
  <c r="BK255"/>
  <c r="BJ255"/>
  <c r="BI255"/>
  <c r="BH255"/>
  <c r="BG255"/>
  <c r="BF255"/>
  <c r="BE255"/>
  <c r="BD255"/>
  <c r="BC255"/>
  <c r="BB255"/>
  <c r="BA255"/>
  <c r="AZ255"/>
  <c r="AY255"/>
  <c r="AX255"/>
  <c r="AW255"/>
  <c r="AV255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D255"/>
  <c r="C255"/>
  <c r="B255"/>
  <c r="A255"/>
  <c r="CJ254"/>
  <c r="CI254"/>
  <c r="CH254"/>
  <c r="CG254"/>
  <c r="CF254"/>
  <c r="CE254"/>
  <c r="CD254"/>
  <c r="CC254"/>
  <c r="CB254"/>
  <c r="CA254"/>
  <c r="BZ254"/>
  <c r="BY254"/>
  <c r="BX254"/>
  <c r="BW254"/>
  <c r="BV254"/>
  <c r="BU254"/>
  <c r="BT254"/>
  <c r="BS254"/>
  <c r="BR254"/>
  <c r="BQ254"/>
  <c r="BP254"/>
  <c r="BO254"/>
  <c r="BN254"/>
  <c r="BM254"/>
  <c r="BL254"/>
  <c r="BK254"/>
  <c r="BJ254"/>
  <c r="BI254"/>
  <c r="BH254"/>
  <c r="BG254"/>
  <c r="BF254"/>
  <c r="BE254"/>
  <c r="BD254"/>
  <c r="BC254"/>
  <c r="BB254"/>
  <c r="BA254"/>
  <c r="AZ254"/>
  <c r="AY254"/>
  <c r="AX254"/>
  <c r="AW254"/>
  <c r="AV254"/>
  <c r="AU254"/>
  <c r="AT254"/>
  <c r="AS254"/>
  <c r="AR254"/>
  <c r="AQ254"/>
  <c r="AP254"/>
  <c r="AO254"/>
  <c r="AN254"/>
  <c r="AM254"/>
  <c r="AL254"/>
  <c r="AK254"/>
  <c r="AJ254"/>
  <c r="AI254"/>
  <c r="AH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C254"/>
  <c r="B254"/>
  <c r="A254"/>
  <c r="CJ253"/>
  <c r="CI253"/>
  <c r="CH253"/>
  <c r="CG253"/>
  <c r="CF253"/>
  <c r="CE253"/>
  <c r="CD253"/>
  <c r="CC253"/>
  <c r="CB253"/>
  <c r="CA253"/>
  <c r="BZ253"/>
  <c r="BY253"/>
  <c r="BX253"/>
  <c r="BW253"/>
  <c r="BV253"/>
  <c r="BU253"/>
  <c r="BT253"/>
  <c r="BS253"/>
  <c r="BR253"/>
  <c r="BQ253"/>
  <c r="BP253"/>
  <c r="BO253"/>
  <c r="BN253"/>
  <c r="BM253"/>
  <c r="BL253"/>
  <c r="BK253"/>
  <c r="BJ253"/>
  <c r="BI253"/>
  <c r="BH253"/>
  <c r="BG253"/>
  <c r="BF253"/>
  <c r="BE253"/>
  <c r="BD253"/>
  <c r="BC253"/>
  <c r="BB253"/>
  <c r="BA253"/>
  <c r="AZ253"/>
  <c r="AY253"/>
  <c r="AX253"/>
  <c r="AW253"/>
  <c r="AV253"/>
  <c r="AU253"/>
  <c r="AT253"/>
  <c r="AS253"/>
  <c r="AR253"/>
  <c r="AQ253"/>
  <c r="AP253"/>
  <c r="AO253"/>
  <c r="AN253"/>
  <c r="AM253"/>
  <c r="AL253"/>
  <c r="AK253"/>
  <c r="AJ253"/>
  <c r="AI253"/>
  <c r="AH253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C253"/>
  <c r="B253"/>
  <c r="A253"/>
  <c r="CJ252"/>
  <c r="CI252"/>
  <c r="CH252"/>
  <c r="CG252"/>
  <c r="CF252"/>
  <c r="CE252"/>
  <c r="CD252"/>
  <c r="CC252"/>
  <c r="CB252"/>
  <c r="CA252"/>
  <c r="BZ252"/>
  <c r="BY252"/>
  <c r="BX252"/>
  <c r="BW252"/>
  <c r="BV252"/>
  <c r="BU252"/>
  <c r="BT252"/>
  <c r="BS252"/>
  <c r="BR252"/>
  <c r="BQ252"/>
  <c r="BP252"/>
  <c r="BO252"/>
  <c r="BN252"/>
  <c r="BM252"/>
  <c r="BL252"/>
  <c r="BK252"/>
  <c r="BJ252"/>
  <c r="BI252"/>
  <c r="BH252"/>
  <c r="BG252"/>
  <c r="BF252"/>
  <c r="BE252"/>
  <c r="BD252"/>
  <c r="BC252"/>
  <c r="BB252"/>
  <c r="BA252"/>
  <c r="AZ252"/>
  <c r="AY252"/>
  <c r="AX252"/>
  <c r="AW252"/>
  <c r="AV252"/>
  <c r="AU252"/>
  <c r="AT252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B252"/>
  <c r="A252"/>
  <c r="CJ251"/>
  <c r="CI251"/>
  <c r="CH251"/>
  <c r="CG251"/>
  <c r="CF251"/>
  <c r="CE251"/>
  <c r="CD251"/>
  <c r="CC251"/>
  <c r="CB251"/>
  <c r="CA251"/>
  <c r="BZ251"/>
  <c r="BY251"/>
  <c r="BX251"/>
  <c r="BW251"/>
  <c r="BV251"/>
  <c r="BU251"/>
  <c r="BT251"/>
  <c r="BS251"/>
  <c r="BR251"/>
  <c r="BQ251"/>
  <c r="BP251"/>
  <c r="BO251"/>
  <c r="BN251"/>
  <c r="BM251"/>
  <c r="BL251"/>
  <c r="BK251"/>
  <c r="BJ251"/>
  <c r="BI251"/>
  <c r="BH251"/>
  <c r="BG251"/>
  <c r="BF251"/>
  <c r="BE251"/>
  <c r="BD251"/>
  <c r="BC251"/>
  <c r="BB251"/>
  <c r="BA251"/>
  <c r="AZ251"/>
  <c r="AY251"/>
  <c r="AX251"/>
  <c r="AW251"/>
  <c r="AV251"/>
  <c r="AU251"/>
  <c r="AT251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B251"/>
  <c r="A251"/>
  <c r="CJ250"/>
  <c r="CI250"/>
  <c r="CH250"/>
  <c r="CG250"/>
  <c r="CF250"/>
  <c r="CE250"/>
  <c r="CD250"/>
  <c r="CC250"/>
  <c r="CB250"/>
  <c r="CA250"/>
  <c r="BZ250"/>
  <c r="BY250"/>
  <c r="BX250"/>
  <c r="BW250"/>
  <c r="BV250"/>
  <c r="BU250"/>
  <c r="BT250"/>
  <c r="BS250"/>
  <c r="BR250"/>
  <c r="BQ250"/>
  <c r="BP250"/>
  <c r="BO250"/>
  <c r="BN250"/>
  <c r="BM250"/>
  <c r="BL250"/>
  <c r="BK250"/>
  <c r="BJ250"/>
  <c r="BI250"/>
  <c r="BH250"/>
  <c r="BG250"/>
  <c r="BF250"/>
  <c r="BE250"/>
  <c r="BD250"/>
  <c r="BC250"/>
  <c r="BB250"/>
  <c r="BA250"/>
  <c r="AZ250"/>
  <c r="AY250"/>
  <c r="AX250"/>
  <c r="AW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A250"/>
  <c r="CJ249"/>
  <c r="CI249"/>
  <c r="CH249"/>
  <c r="CG249"/>
  <c r="CF249"/>
  <c r="CE249"/>
  <c r="CD249"/>
  <c r="CC249"/>
  <c r="CB249"/>
  <c r="CA249"/>
  <c r="BZ249"/>
  <c r="BY249"/>
  <c r="BX249"/>
  <c r="BW249"/>
  <c r="BV249"/>
  <c r="BU249"/>
  <c r="BT249"/>
  <c r="BS249"/>
  <c r="BR249"/>
  <c r="BQ249"/>
  <c r="BP249"/>
  <c r="BO249"/>
  <c r="BN249"/>
  <c r="BM249"/>
  <c r="BL249"/>
  <c r="BK249"/>
  <c r="BJ249"/>
  <c r="BI249"/>
  <c r="BH249"/>
  <c r="BG249"/>
  <c r="BF249"/>
  <c r="BE249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A249"/>
  <c r="CJ248"/>
  <c r="CI248"/>
  <c r="CH248"/>
  <c r="CG248"/>
  <c r="CF248"/>
  <c r="CE248"/>
  <c r="CD248"/>
  <c r="CC248"/>
  <c r="CB248"/>
  <c r="CA248"/>
  <c r="BZ248"/>
  <c r="BY248"/>
  <c r="BX248"/>
  <c r="BW248"/>
  <c r="BV248"/>
  <c r="BU248"/>
  <c r="BT248"/>
  <c r="BS248"/>
  <c r="BR248"/>
  <c r="BQ248"/>
  <c r="BP248"/>
  <c r="BO248"/>
  <c r="BN248"/>
  <c r="BM248"/>
  <c r="BL248"/>
  <c r="BK248"/>
  <c r="BJ248"/>
  <c r="BI248"/>
  <c r="BH248"/>
  <c r="BG248"/>
  <c r="BF248"/>
  <c r="BE248"/>
  <c r="BD248"/>
  <c r="BC248"/>
  <c r="BB248"/>
  <c r="BA248"/>
  <c r="AZ248"/>
  <c r="AY248"/>
  <c r="AX248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C248"/>
  <c r="B248"/>
  <c r="A248"/>
  <c r="CJ247"/>
  <c r="CI247"/>
  <c r="CH247"/>
  <c r="CG247"/>
  <c r="CF247"/>
  <c r="CE247"/>
  <c r="CD247"/>
  <c r="CC247"/>
  <c r="CB247"/>
  <c r="CA247"/>
  <c r="BZ247"/>
  <c r="BY247"/>
  <c r="BX247"/>
  <c r="BW247"/>
  <c r="BV247"/>
  <c r="BU247"/>
  <c r="BT247"/>
  <c r="BS247"/>
  <c r="BR247"/>
  <c r="BQ247"/>
  <c r="BP247"/>
  <c r="BO247"/>
  <c r="BN247"/>
  <c r="BM247"/>
  <c r="BL247"/>
  <c r="BK247"/>
  <c r="BJ247"/>
  <c r="BI247"/>
  <c r="BH247"/>
  <c r="BG247"/>
  <c r="BF247"/>
  <c r="BE247"/>
  <c r="BD247"/>
  <c r="BC247"/>
  <c r="BB247"/>
  <c r="BA247"/>
  <c r="AZ247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D247"/>
  <c r="C247"/>
  <c r="B247"/>
  <c r="A247"/>
  <c r="CJ246"/>
  <c r="CI246"/>
  <c r="CH246"/>
  <c r="CG246"/>
  <c r="CF246"/>
  <c r="CE246"/>
  <c r="CD246"/>
  <c r="CC246"/>
  <c r="CB246"/>
  <c r="CA246"/>
  <c r="BZ246"/>
  <c r="BY246"/>
  <c r="BX246"/>
  <c r="BW246"/>
  <c r="BV246"/>
  <c r="BU246"/>
  <c r="BT246"/>
  <c r="BS246"/>
  <c r="BR246"/>
  <c r="BQ246"/>
  <c r="BP246"/>
  <c r="BO246"/>
  <c r="BN246"/>
  <c r="BM246"/>
  <c r="BL246"/>
  <c r="BK246"/>
  <c r="BJ246"/>
  <c r="BI246"/>
  <c r="BH246"/>
  <c r="BG246"/>
  <c r="BF246"/>
  <c r="BE246"/>
  <c r="BD246"/>
  <c r="BC246"/>
  <c r="BB246"/>
  <c r="BA246"/>
  <c r="AZ246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C246"/>
  <c r="B246"/>
  <c r="A246"/>
  <c r="CJ245"/>
  <c r="CI245"/>
  <c r="CH245"/>
  <c r="CG245"/>
  <c r="CF245"/>
  <c r="CE245"/>
  <c r="CD245"/>
  <c r="CC245"/>
  <c r="CB245"/>
  <c r="CA245"/>
  <c r="BZ245"/>
  <c r="BY245"/>
  <c r="BX245"/>
  <c r="BW245"/>
  <c r="BV245"/>
  <c r="BU245"/>
  <c r="BT245"/>
  <c r="BS245"/>
  <c r="BR245"/>
  <c r="BQ245"/>
  <c r="BP245"/>
  <c r="BO245"/>
  <c r="BN245"/>
  <c r="BM245"/>
  <c r="BL245"/>
  <c r="BK245"/>
  <c r="BJ245"/>
  <c r="BI245"/>
  <c r="BH245"/>
  <c r="BG245"/>
  <c r="BF245"/>
  <c r="BE245"/>
  <c r="BD245"/>
  <c r="BC245"/>
  <c r="BB245"/>
  <c r="BA245"/>
  <c r="AZ245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D245"/>
  <c r="C245"/>
  <c r="B245"/>
  <c r="A245"/>
  <c r="CJ244"/>
  <c r="CI244"/>
  <c r="CH244"/>
  <c r="CG244"/>
  <c r="CF244"/>
  <c r="CE244"/>
  <c r="CD244"/>
  <c r="CC244"/>
  <c r="CB244"/>
  <c r="CA244"/>
  <c r="BZ244"/>
  <c r="BY244"/>
  <c r="BX244"/>
  <c r="BW244"/>
  <c r="BV244"/>
  <c r="BU244"/>
  <c r="BT244"/>
  <c r="BS244"/>
  <c r="BR244"/>
  <c r="BQ244"/>
  <c r="BP244"/>
  <c r="BO244"/>
  <c r="BN244"/>
  <c r="BM244"/>
  <c r="BL244"/>
  <c r="BK244"/>
  <c r="BJ244"/>
  <c r="BI244"/>
  <c r="BH244"/>
  <c r="BG244"/>
  <c r="BF244"/>
  <c r="BE244"/>
  <c r="BD244"/>
  <c r="BC244"/>
  <c r="BB244"/>
  <c r="BA244"/>
  <c r="AZ244"/>
  <c r="AY244"/>
  <c r="AX244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C244"/>
  <c r="B244"/>
  <c r="A244"/>
  <c r="CJ243"/>
  <c r="CI243"/>
  <c r="CH243"/>
  <c r="CG243"/>
  <c r="CF243"/>
  <c r="CE243"/>
  <c r="CD243"/>
  <c r="CC243"/>
  <c r="CB243"/>
  <c r="CA243"/>
  <c r="BZ243"/>
  <c r="BY243"/>
  <c r="BX243"/>
  <c r="BW243"/>
  <c r="BV243"/>
  <c r="BU243"/>
  <c r="BT243"/>
  <c r="BS243"/>
  <c r="BR243"/>
  <c r="BQ243"/>
  <c r="BP243"/>
  <c r="BO243"/>
  <c r="BN243"/>
  <c r="BM243"/>
  <c r="BL243"/>
  <c r="BK243"/>
  <c r="BJ243"/>
  <c r="BI243"/>
  <c r="BH243"/>
  <c r="BG243"/>
  <c r="BF243"/>
  <c r="BE243"/>
  <c r="BD243"/>
  <c r="BC243"/>
  <c r="BB243"/>
  <c r="BA243"/>
  <c r="AZ243"/>
  <c r="AY243"/>
  <c r="AX243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D243"/>
  <c r="C243"/>
  <c r="B243"/>
  <c r="A243"/>
  <c r="CJ242"/>
  <c r="CI242"/>
  <c r="CH242"/>
  <c r="CG242"/>
  <c r="CF242"/>
  <c r="CE242"/>
  <c r="CD242"/>
  <c r="CC242"/>
  <c r="CB242"/>
  <c r="CA242"/>
  <c r="BZ242"/>
  <c r="BY242"/>
  <c r="BX242"/>
  <c r="BW242"/>
  <c r="BV242"/>
  <c r="BU242"/>
  <c r="BT242"/>
  <c r="BS242"/>
  <c r="BR242"/>
  <c r="BQ242"/>
  <c r="BP242"/>
  <c r="BO242"/>
  <c r="BN242"/>
  <c r="BM242"/>
  <c r="BL242"/>
  <c r="BK242"/>
  <c r="BJ242"/>
  <c r="BI242"/>
  <c r="BH242"/>
  <c r="BG242"/>
  <c r="BF242"/>
  <c r="BE242"/>
  <c r="BD242"/>
  <c r="BC242"/>
  <c r="BB242"/>
  <c r="BA242"/>
  <c r="AZ242"/>
  <c r="AY242"/>
  <c r="AX242"/>
  <c r="AW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C242"/>
  <c r="B242"/>
  <c r="A242"/>
  <c r="CJ241"/>
  <c r="CI241"/>
  <c r="CH241"/>
  <c r="CG241"/>
  <c r="CF241"/>
  <c r="CE241"/>
  <c r="CD241"/>
  <c r="CC241"/>
  <c r="CB241"/>
  <c r="CA241"/>
  <c r="BZ241"/>
  <c r="BY241"/>
  <c r="BX241"/>
  <c r="BW241"/>
  <c r="BV241"/>
  <c r="BU241"/>
  <c r="BT241"/>
  <c r="BS241"/>
  <c r="BR241"/>
  <c r="BQ241"/>
  <c r="BP241"/>
  <c r="BO241"/>
  <c r="BN241"/>
  <c r="BM241"/>
  <c r="BL241"/>
  <c r="BK241"/>
  <c r="BJ241"/>
  <c r="BI241"/>
  <c r="BH241"/>
  <c r="BG241"/>
  <c r="BF241"/>
  <c r="BE241"/>
  <c r="BD241"/>
  <c r="BC241"/>
  <c r="BB241"/>
  <c r="BA241"/>
  <c r="AZ241"/>
  <c r="AY241"/>
  <c r="AX241"/>
  <c r="AW241"/>
  <c r="AV241"/>
  <c r="AU241"/>
  <c r="AT241"/>
  <c r="AS241"/>
  <c r="AR241"/>
  <c r="AQ241"/>
  <c r="AP241"/>
  <c r="AO241"/>
  <c r="AN241"/>
  <c r="AM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C241"/>
  <c r="B241"/>
  <c r="A241"/>
  <c r="CJ240"/>
  <c r="CI240"/>
  <c r="CH240"/>
  <c r="CG240"/>
  <c r="CF240"/>
  <c r="CE240"/>
  <c r="CD240"/>
  <c r="CC240"/>
  <c r="CB240"/>
  <c r="CA240"/>
  <c r="BZ240"/>
  <c r="BY240"/>
  <c r="BX240"/>
  <c r="BW240"/>
  <c r="BV240"/>
  <c r="BU240"/>
  <c r="BT240"/>
  <c r="BS240"/>
  <c r="BR240"/>
  <c r="BQ240"/>
  <c r="BP240"/>
  <c r="BO240"/>
  <c r="BN240"/>
  <c r="BM240"/>
  <c r="BL240"/>
  <c r="BK240"/>
  <c r="BJ240"/>
  <c r="BI240"/>
  <c r="BH240"/>
  <c r="BG240"/>
  <c r="BF240"/>
  <c r="BE240"/>
  <c r="BD240"/>
  <c r="BC240"/>
  <c r="BB240"/>
  <c r="BA240"/>
  <c r="AZ240"/>
  <c r="AY240"/>
  <c r="AX240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C240"/>
  <c r="B240"/>
  <c r="A240"/>
  <c r="CJ239"/>
  <c r="CI239"/>
  <c r="CH239"/>
  <c r="CG239"/>
  <c r="CF239"/>
  <c r="CE239"/>
  <c r="CD239"/>
  <c r="CC239"/>
  <c r="CB239"/>
  <c r="CA239"/>
  <c r="BZ239"/>
  <c r="BY239"/>
  <c r="BX239"/>
  <c r="BW239"/>
  <c r="BV239"/>
  <c r="BU239"/>
  <c r="BT239"/>
  <c r="BS239"/>
  <c r="BR239"/>
  <c r="BQ239"/>
  <c r="BP239"/>
  <c r="BO239"/>
  <c r="BN239"/>
  <c r="BM239"/>
  <c r="BL239"/>
  <c r="BK239"/>
  <c r="BJ239"/>
  <c r="BI239"/>
  <c r="BH239"/>
  <c r="BG239"/>
  <c r="BF239"/>
  <c r="BE239"/>
  <c r="BD239"/>
  <c r="BC239"/>
  <c r="BB239"/>
  <c r="BA239"/>
  <c r="AZ239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C239"/>
  <c r="B239"/>
  <c r="A239"/>
  <c r="CJ238"/>
  <c r="CI238"/>
  <c r="CH238"/>
  <c r="CG238"/>
  <c r="CF238"/>
  <c r="CE238"/>
  <c r="CD238"/>
  <c r="CC238"/>
  <c r="CB238"/>
  <c r="CA238"/>
  <c r="BZ238"/>
  <c r="BY238"/>
  <c r="BX238"/>
  <c r="BW238"/>
  <c r="BV238"/>
  <c r="BU238"/>
  <c r="BT238"/>
  <c r="BS238"/>
  <c r="BR238"/>
  <c r="BQ238"/>
  <c r="BP238"/>
  <c r="BO238"/>
  <c r="BN238"/>
  <c r="BM238"/>
  <c r="BL238"/>
  <c r="BK238"/>
  <c r="BJ238"/>
  <c r="BI238"/>
  <c r="BH238"/>
  <c r="BG238"/>
  <c r="BF238"/>
  <c r="BE238"/>
  <c r="BD238"/>
  <c r="BC238"/>
  <c r="BB238"/>
  <c r="BA238"/>
  <c r="AZ238"/>
  <c r="AY238"/>
  <c r="AX238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C238"/>
  <c r="B238"/>
  <c r="A238"/>
  <c r="CJ237"/>
  <c r="CI237"/>
  <c r="CH237"/>
  <c r="CG237"/>
  <c r="CF237"/>
  <c r="CE237"/>
  <c r="CD237"/>
  <c r="CC237"/>
  <c r="CB237"/>
  <c r="CA237"/>
  <c r="BZ237"/>
  <c r="BY237"/>
  <c r="BX237"/>
  <c r="BW237"/>
  <c r="BV237"/>
  <c r="BU237"/>
  <c r="BT237"/>
  <c r="BS237"/>
  <c r="BR237"/>
  <c r="BQ237"/>
  <c r="BP237"/>
  <c r="BO237"/>
  <c r="BN237"/>
  <c r="BM237"/>
  <c r="BL237"/>
  <c r="BK237"/>
  <c r="BJ237"/>
  <c r="BI237"/>
  <c r="BH237"/>
  <c r="BG237"/>
  <c r="BF237"/>
  <c r="BE237"/>
  <c r="BD237"/>
  <c r="BC237"/>
  <c r="BB237"/>
  <c r="BA237"/>
  <c r="AZ237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C237"/>
  <c r="B237"/>
  <c r="A237"/>
  <c r="CJ236"/>
  <c r="CI236"/>
  <c r="CH236"/>
  <c r="CG236"/>
  <c r="CF236"/>
  <c r="CE236"/>
  <c r="CD236"/>
  <c r="CC236"/>
  <c r="CB236"/>
  <c r="CA236"/>
  <c r="BZ236"/>
  <c r="BY236"/>
  <c r="BX236"/>
  <c r="BW236"/>
  <c r="BV236"/>
  <c r="BU236"/>
  <c r="BT236"/>
  <c r="BS236"/>
  <c r="BR236"/>
  <c r="BQ236"/>
  <c r="BP236"/>
  <c r="BO236"/>
  <c r="BN236"/>
  <c r="BM236"/>
  <c r="BL236"/>
  <c r="BK236"/>
  <c r="BJ236"/>
  <c r="BI236"/>
  <c r="BH236"/>
  <c r="BG236"/>
  <c r="BF236"/>
  <c r="BE236"/>
  <c r="BD236"/>
  <c r="BC236"/>
  <c r="BB236"/>
  <c r="BA236"/>
  <c r="AZ236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C236"/>
  <c r="B236"/>
  <c r="A236"/>
  <c r="CJ235"/>
  <c r="CI235"/>
  <c r="CH235"/>
  <c r="CG235"/>
  <c r="CF235"/>
  <c r="CE235"/>
  <c r="CD235"/>
  <c r="CC235"/>
  <c r="CB235"/>
  <c r="CA235"/>
  <c r="BZ235"/>
  <c r="BY235"/>
  <c r="BX235"/>
  <c r="BW235"/>
  <c r="BV235"/>
  <c r="BU235"/>
  <c r="BT235"/>
  <c r="BS235"/>
  <c r="BR235"/>
  <c r="BQ235"/>
  <c r="BP235"/>
  <c r="BO235"/>
  <c r="BN235"/>
  <c r="BM235"/>
  <c r="BL235"/>
  <c r="BK235"/>
  <c r="BJ235"/>
  <c r="BI235"/>
  <c r="BH235"/>
  <c r="BG235"/>
  <c r="BF235"/>
  <c r="BE235"/>
  <c r="BD235"/>
  <c r="BC235"/>
  <c r="BB235"/>
  <c r="BA235"/>
  <c r="AZ235"/>
  <c r="AY235"/>
  <c r="AX235"/>
  <c r="AW235"/>
  <c r="AV235"/>
  <c r="AU235"/>
  <c r="AT235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C235"/>
  <c r="B235"/>
  <c r="A235"/>
  <c r="CJ234"/>
  <c r="CI234"/>
  <c r="CH234"/>
  <c r="CG234"/>
  <c r="CF234"/>
  <c r="CE234"/>
  <c r="CD234"/>
  <c r="CC234"/>
  <c r="CB234"/>
  <c r="CA234"/>
  <c r="BZ234"/>
  <c r="BY234"/>
  <c r="BX234"/>
  <c r="BW234"/>
  <c r="BV234"/>
  <c r="BU234"/>
  <c r="BT234"/>
  <c r="BS234"/>
  <c r="BR234"/>
  <c r="BQ234"/>
  <c r="BP234"/>
  <c r="BO234"/>
  <c r="BN234"/>
  <c r="BM234"/>
  <c r="BL234"/>
  <c r="BK234"/>
  <c r="BJ234"/>
  <c r="BI234"/>
  <c r="BH234"/>
  <c r="BG234"/>
  <c r="BF234"/>
  <c r="BE234"/>
  <c r="BD234"/>
  <c r="BC234"/>
  <c r="BB234"/>
  <c r="BA234"/>
  <c r="AZ234"/>
  <c r="AY234"/>
  <c r="AX234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C234"/>
  <c r="B234"/>
  <c r="A234"/>
  <c r="CJ233"/>
  <c r="CI233"/>
  <c r="CH233"/>
  <c r="CG233"/>
  <c r="CF233"/>
  <c r="CE233"/>
  <c r="CD233"/>
  <c r="CC233"/>
  <c r="CB233"/>
  <c r="CA233"/>
  <c r="BZ233"/>
  <c r="BY233"/>
  <c r="BX233"/>
  <c r="BW233"/>
  <c r="BV233"/>
  <c r="BU233"/>
  <c r="BT233"/>
  <c r="BS233"/>
  <c r="BR233"/>
  <c r="BQ233"/>
  <c r="BP233"/>
  <c r="BO233"/>
  <c r="BN233"/>
  <c r="BM233"/>
  <c r="BL233"/>
  <c r="BK233"/>
  <c r="BJ233"/>
  <c r="BI233"/>
  <c r="BH233"/>
  <c r="BG233"/>
  <c r="BF233"/>
  <c r="BE233"/>
  <c r="BD233"/>
  <c r="BC233"/>
  <c r="BB233"/>
  <c r="BA233"/>
  <c r="AZ233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C233"/>
  <c r="B233"/>
  <c r="A233"/>
  <c r="CJ232"/>
  <c r="CI232"/>
  <c r="CH232"/>
  <c r="CG232"/>
  <c r="CF232"/>
  <c r="CE232"/>
  <c r="CD232"/>
  <c r="CC232"/>
  <c r="CB232"/>
  <c r="CA232"/>
  <c r="BZ232"/>
  <c r="BY232"/>
  <c r="BX232"/>
  <c r="BW232"/>
  <c r="BV232"/>
  <c r="BU232"/>
  <c r="BT232"/>
  <c r="BS232"/>
  <c r="BR232"/>
  <c r="BQ232"/>
  <c r="BP232"/>
  <c r="BO232"/>
  <c r="BN232"/>
  <c r="BM232"/>
  <c r="BL232"/>
  <c r="BK232"/>
  <c r="BJ232"/>
  <c r="BI232"/>
  <c r="BH232"/>
  <c r="BG232"/>
  <c r="BF232"/>
  <c r="BE232"/>
  <c r="BD232"/>
  <c r="BC232"/>
  <c r="BB232"/>
  <c r="BA232"/>
  <c r="AZ232"/>
  <c r="AY232"/>
  <c r="AX232"/>
  <c r="AW232"/>
  <c r="AV232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C232"/>
  <c r="B232"/>
  <c r="A232"/>
  <c r="CJ231"/>
  <c r="CI231"/>
  <c r="CH231"/>
  <c r="CG231"/>
  <c r="CF231"/>
  <c r="CE231"/>
  <c r="CD231"/>
  <c r="CC231"/>
  <c r="CB231"/>
  <c r="CA231"/>
  <c r="BZ231"/>
  <c r="BY231"/>
  <c r="BX231"/>
  <c r="BW231"/>
  <c r="BV231"/>
  <c r="BU231"/>
  <c r="BT231"/>
  <c r="BS231"/>
  <c r="BR231"/>
  <c r="BQ231"/>
  <c r="BP231"/>
  <c r="BO231"/>
  <c r="BN231"/>
  <c r="BM231"/>
  <c r="BL231"/>
  <c r="BK231"/>
  <c r="BJ231"/>
  <c r="BI231"/>
  <c r="BH231"/>
  <c r="BG231"/>
  <c r="BF231"/>
  <c r="BE231"/>
  <c r="BD231"/>
  <c r="BC231"/>
  <c r="BB231"/>
  <c r="BA231"/>
  <c r="AZ231"/>
  <c r="AY231"/>
  <c r="AX231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C231"/>
  <c r="B231"/>
  <c r="A231"/>
  <c r="CJ230"/>
  <c r="CI230"/>
  <c r="CH230"/>
  <c r="CG230"/>
  <c r="CF230"/>
  <c r="CE230"/>
  <c r="CD230"/>
  <c r="CC230"/>
  <c r="CB230"/>
  <c r="CA230"/>
  <c r="BZ230"/>
  <c r="BY230"/>
  <c r="BX230"/>
  <c r="BW230"/>
  <c r="BV230"/>
  <c r="BU230"/>
  <c r="BT230"/>
  <c r="BS230"/>
  <c r="BR230"/>
  <c r="BQ230"/>
  <c r="BP230"/>
  <c r="BO230"/>
  <c r="BN230"/>
  <c r="BM230"/>
  <c r="BL230"/>
  <c r="BK230"/>
  <c r="BJ230"/>
  <c r="BI230"/>
  <c r="BH230"/>
  <c r="BG230"/>
  <c r="BF230"/>
  <c r="BE230"/>
  <c r="BD230"/>
  <c r="BC230"/>
  <c r="BB230"/>
  <c r="BA230"/>
  <c r="AZ230"/>
  <c r="AY230"/>
  <c r="AX230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C230"/>
  <c r="B230"/>
  <c r="A230"/>
  <c r="CJ229"/>
  <c r="CI229"/>
  <c r="CH229"/>
  <c r="CG229"/>
  <c r="CF229"/>
  <c r="CE229"/>
  <c r="CD229"/>
  <c r="CC229"/>
  <c r="CB229"/>
  <c r="CA229"/>
  <c r="BZ229"/>
  <c r="BY229"/>
  <c r="BX229"/>
  <c r="BW229"/>
  <c r="BV229"/>
  <c r="BU229"/>
  <c r="BT229"/>
  <c r="BS229"/>
  <c r="BR229"/>
  <c r="BQ229"/>
  <c r="BP229"/>
  <c r="BO229"/>
  <c r="BN229"/>
  <c r="BM229"/>
  <c r="BL229"/>
  <c r="BK229"/>
  <c r="BJ229"/>
  <c r="BI229"/>
  <c r="BH229"/>
  <c r="BG229"/>
  <c r="BF229"/>
  <c r="BE229"/>
  <c r="BD229"/>
  <c r="BC229"/>
  <c r="BB229"/>
  <c r="BA229"/>
  <c r="AZ229"/>
  <c r="AY229"/>
  <c r="AX229"/>
  <c r="AW229"/>
  <c r="AV229"/>
  <c r="AU229"/>
  <c r="AT229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D229"/>
  <c r="C229"/>
  <c r="B229"/>
  <c r="A229"/>
  <c r="CJ228"/>
  <c r="CI228"/>
  <c r="CH228"/>
  <c r="CG228"/>
  <c r="CF228"/>
  <c r="CE228"/>
  <c r="CD228"/>
  <c r="CC228"/>
  <c r="CB228"/>
  <c r="CA228"/>
  <c r="BZ228"/>
  <c r="BY228"/>
  <c r="BX228"/>
  <c r="BW228"/>
  <c r="BV228"/>
  <c r="BU228"/>
  <c r="BT228"/>
  <c r="BS228"/>
  <c r="BR228"/>
  <c r="BQ228"/>
  <c r="BP228"/>
  <c r="BO228"/>
  <c r="BN228"/>
  <c r="BM228"/>
  <c r="BL228"/>
  <c r="BK228"/>
  <c r="BJ228"/>
  <c r="BI228"/>
  <c r="BH228"/>
  <c r="BG228"/>
  <c r="BF228"/>
  <c r="BE228"/>
  <c r="BD228"/>
  <c r="BC228"/>
  <c r="BB228"/>
  <c r="BA228"/>
  <c r="AZ228"/>
  <c r="AY228"/>
  <c r="AX228"/>
  <c r="AW228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C228"/>
  <c r="B228"/>
  <c r="A228"/>
  <c r="CJ227"/>
  <c r="CI227"/>
  <c r="CH227"/>
  <c r="CG227"/>
  <c r="CF227"/>
  <c r="CE227"/>
  <c r="CD227"/>
  <c r="CC227"/>
  <c r="CB227"/>
  <c r="CA227"/>
  <c r="BZ227"/>
  <c r="BY227"/>
  <c r="BX227"/>
  <c r="BW227"/>
  <c r="BV227"/>
  <c r="BU227"/>
  <c r="BT227"/>
  <c r="BS227"/>
  <c r="BR227"/>
  <c r="BQ227"/>
  <c r="BP227"/>
  <c r="BO227"/>
  <c r="BN227"/>
  <c r="BM227"/>
  <c r="BL227"/>
  <c r="BK227"/>
  <c r="BJ227"/>
  <c r="BI227"/>
  <c r="BH227"/>
  <c r="BG227"/>
  <c r="BF227"/>
  <c r="BE227"/>
  <c r="BD227"/>
  <c r="BC227"/>
  <c r="BB227"/>
  <c r="BA227"/>
  <c r="AZ227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D227"/>
  <c r="C227"/>
  <c r="B227"/>
  <c r="A227"/>
  <c r="CJ226"/>
  <c r="CI226"/>
  <c r="CH226"/>
  <c r="CG226"/>
  <c r="CF226"/>
  <c r="CE226"/>
  <c r="CD226"/>
  <c r="CC226"/>
  <c r="CB226"/>
  <c r="CA226"/>
  <c r="BZ226"/>
  <c r="BY226"/>
  <c r="BX226"/>
  <c r="BW226"/>
  <c r="BV226"/>
  <c r="BU226"/>
  <c r="BT226"/>
  <c r="BS226"/>
  <c r="BR226"/>
  <c r="BQ226"/>
  <c r="BP226"/>
  <c r="BO226"/>
  <c r="BN226"/>
  <c r="BM226"/>
  <c r="BL226"/>
  <c r="BK226"/>
  <c r="BJ226"/>
  <c r="BI226"/>
  <c r="BH226"/>
  <c r="BG226"/>
  <c r="BF226"/>
  <c r="BE226"/>
  <c r="BD226"/>
  <c r="BC226"/>
  <c r="BB226"/>
  <c r="BA226"/>
  <c r="AZ226"/>
  <c r="AY226"/>
  <c r="AX226"/>
  <c r="AW226"/>
  <c r="AV226"/>
  <c r="AU226"/>
  <c r="AT226"/>
  <c r="AS226"/>
  <c r="AR226"/>
  <c r="AQ226"/>
  <c r="AP226"/>
  <c r="AO226"/>
  <c r="AN226"/>
  <c r="AM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C226"/>
  <c r="B226"/>
  <c r="A226"/>
  <c r="CJ225"/>
  <c r="CI225"/>
  <c r="CH225"/>
  <c r="CG225"/>
  <c r="CF225"/>
  <c r="CE225"/>
  <c r="CD225"/>
  <c r="CC225"/>
  <c r="CB225"/>
  <c r="CA225"/>
  <c r="BZ225"/>
  <c r="BY225"/>
  <c r="BX225"/>
  <c r="BW225"/>
  <c r="BV225"/>
  <c r="BU225"/>
  <c r="BT225"/>
  <c r="BS225"/>
  <c r="BR225"/>
  <c r="BQ225"/>
  <c r="BP225"/>
  <c r="BO225"/>
  <c r="BN225"/>
  <c r="BM225"/>
  <c r="BL225"/>
  <c r="BK225"/>
  <c r="BJ225"/>
  <c r="BI225"/>
  <c r="BH225"/>
  <c r="BG225"/>
  <c r="BF225"/>
  <c r="BE225"/>
  <c r="BD225"/>
  <c r="BC225"/>
  <c r="BB225"/>
  <c r="BA225"/>
  <c r="AZ225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D225"/>
  <c r="C225"/>
  <c r="B225"/>
  <c r="A225"/>
  <c r="CJ224"/>
  <c r="CI224"/>
  <c r="CH224"/>
  <c r="CG224"/>
  <c r="CF224"/>
  <c r="CE224"/>
  <c r="CD224"/>
  <c r="CC224"/>
  <c r="CB224"/>
  <c r="CA224"/>
  <c r="BZ224"/>
  <c r="BY224"/>
  <c r="BX224"/>
  <c r="BW224"/>
  <c r="BV224"/>
  <c r="BU224"/>
  <c r="BT224"/>
  <c r="BS224"/>
  <c r="BR224"/>
  <c r="BQ224"/>
  <c r="BP224"/>
  <c r="BO224"/>
  <c r="BN224"/>
  <c r="BM224"/>
  <c r="BL224"/>
  <c r="BK224"/>
  <c r="BJ224"/>
  <c r="BI224"/>
  <c r="BH224"/>
  <c r="BG224"/>
  <c r="BF224"/>
  <c r="BE224"/>
  <c r="BD224"/>
  <c r="BC224"/>
  <c r="BB224"/>
  <c r="BA224"/>
  <c r="AZ224"/>
  <c r="AY224"/>
  <c r="AX224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C224"/>
  <c r="B224"/>
  <c r="A224"/>
  <c r="CJ223"/>
  <c r="CI223"/>
  <c r="CH223"/>
  <c r="CG223"/>
  <c r="CF223"/>
  <c r="CE223"/>
  <c r="CD223"/>
  <c r="CC223"/>
  <c r="CB223"/>
  <c r="CA223"/>
  <c r="BZ223"/>
  <c r="BY223"/>
  <c r="BX223"/>
  <c r="BW223"/>
  <c r="BV223"/>
  <c r="BU223"/>
  <c r="BT223"/>
  <c r="BS223"/>
  <c r="BR223"/>
  <c r="BQ223"/>
  <c r="BP223"/>
  <c r="BO223"/>
  <c r="BN223"/>
  <c r="BM223"/>
  <c r="BL223"/>
  <c r="BK223"/>
  <c r="BJ223"/>
  <c r="BI223"/>
  <c r="BH223"/>
  <c r="BG223"/>
  <c r="BF223"/>
  <c r="BE223"/>
  <c r="BD223"/>
  <c r="BC223"/>
  <c r="BB223"/>
  <c r="BA223"/>
  <c r="AZ223"/>
  <c r="AY223"/>
  <c r="AX223"/>
  <c r="AW223"/>
  <c r="AV223"/>
  <c r="AU223"/>
  <c r="AT223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D223"/>
  <c r="C223"/>
  <c r="B223"/>
  <c r="A223"/>
  <c r="CJ222"/>
  <c r="CI222"/>
  <c r="CH222"/>
  <c r="CG222"/>
  <c r="CF222"/>
  <c r="CE222"/>
  <c r="CD222"/>
  <c r="CC222"/>
  <c r="CB222"/>
  <c r="CA222"/>
  <c r="BZ222"/>
  <c r="BY222"/>
  <c r="BX222"/>
  <c r="BW222"/>
  <c r="BV222"/>
  <c r="BU222"/>
  <c r="BT222"/>
  <c r="BS222"/>
  <c r="BR222"/>
  <c r="BQ222"/>
  <c r="BP222"/>
  <c r="BO222"/>
  <c r="BN222"/>
  <c r="BM222"/>
  <c r="BL222"/>
  <c r="BK222"/>
  <c r="BJ222"/>
  <c r="BI222"/>
  <c r="BH222"/>
  <c r="BG222"/>
  <c r="BF222"/>
  <c r="BE222"/>
  <c r="BD222"/>
  <c r="BC222"/>
  <c r="BB222"/>
  <c r="BA222"/>
  <c r="AZ222"/>
  <c r="AY222"/>
  <c r="AX222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C222"/>
  <c r="B222"/>
  <c r="A222"/>
  <c r="CJ221"/>
  <c r="CI221"/>
  <c r="CH221"/>
  <c r="CG221"/>
  <c r="CF221"/>
  <c r="CE221"/>
  <c r="CD221"/>
  <c r="CC221"/>
  <c r="CB221"/>
  <c r="CA221"/>
  <c r="BZ221"/>
  <c r="BY221"/>
  <c r="BX221"/>
  <c r="BW221"/>
  <c r="BV221"/>
  <c r="BU221"/>
  <c r="BT221"/>
  <c r="BS221"/>
  <c r="BR221"/>
  <c r="BQ221"/>
  <c r="BP221"/>
  <c r="BO221"/>
  <c r="BN221"/>
  <c r="BM221"/>
  <c r="BL221"/>
  <c r="BK221"/>
  <c r="BJ221"/>
  <c r="BI221"/>
  <c r="BH221"/>
  <c r="BG221"/>
  <c r="BF221"/>
  <c r="BE221"/>
  <c r="BD221"/>
  <c r="BC221"/>
  <c r="BB221"/>
  <c r="BA221"/>
  <c r="AZ221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C221"/>
  <c r="B221"/>
  <c r="A221"/>
  <c r="CJ220"/>
  <c r="CI220"/>
  <c r="CH220"/>
  <c r="CG220"/>
  <c r="CF220"/>
  <c r="CE220"/>
  <c r="CD220"/>
  <c r="CC220"/>
  <c r="CB220"/>
  <c r="CA220"/>
  <c r="BZ220"/>
  <c r="BY220"/>
  <c r="BX220"/>
  <c r="BW220"/>
  <c r="BV220"/>
  <c r="BU220"/>
  <c r="BT220"/>
  <c r="BS220"/>
  <c r="BR220"/>
  <c r="BQ220"/>
  <c r="BP220"/>
  <c r="BO220"/>
  <c r="BN220"/>
  <c r="BM220"/>
  <c r="BL220"/>
  <c r="BK220"/>
  <c r="BJ220"/>
  <c r="BI220"/>
  <c r="BH220"/>
  <c r="BG220"/>
  <c r="BF220"/>
  <c r="BE220"/>
  <c r="BD220"/>
  <c r="BC220"/>
  <c r="BB220"/>
  <c r="BA220"/>
  <c r="AZ220"/>
  <c r="AY220"/>
  <c r="AX220"/>
  <c r="AW220"/>
  <c r="AV220"/>
  <c r="AU220"/>
  <c r="AT220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C220"/>
  <c r="B220"/>
  <c r="A220"/>
  <c r="CJ219"/>
  <c r="CI219"/>
  <c r="CH219"/>
  <c r="CG219"/>
  <c r="CF219"/>
  <c r="CE219"/>
  <c r="CD219"/>
  <c r="CC219"/>
  <c r="CB219"/>
  <c r="CA219"/>
  <c r="BZ219"/>
  <c r="BY219"/>
  <c r="BX219"/>
  <c r="BW219"/>
  <c r="BV219"/>
  <c r="BU219"/>
  <c r="BT219"/>
  <c r="BS219"/>
  <c r="BR219"/>
  <c r="BQ219"/>
  <c r="BP219"/>
  <c r="BO219"/>
  <c r="BN219"/>
  <c r="BM219"/>
  <c r="BL219"/>
  <c r="BK219"/>
  <c r="BJ219"/>
  <c r="BI219"/>
  <c r="BH219"/>
  <c r="BG219"/>
  <c r="BF219"/>
  <c r="BE219"/>
  <c r="BD219"/>
  <c r="BC219"/>
  <c r="BB219"/>
  <c r="BA219"/>
  <c r="AZ219"/>
  <c r="AY219"/>
  <c r="AX219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C219"/>
  <c r="B219"/>
  <c r="A219"/>
  <c r="CJ218"/>
  <c r="CI218"/>
  <c r="CH218"/>
  <c r="CG218"/>
  <c r="CF218"/>
  <c r="CE218"/>
  <c r="CD218"/>
  <c r="CC218"/>
  <c r="CB218"/>
  <c r="CA218"/>
  <c r="BZ218"/>
  <c r="BY218"/>
  <c r="BX218"/>
  <c r="BW218"/>
  <c r="BV218"/>
  <c r="BU218"/>
  <c r="BT218"/>
  <c r="BS218"/>
  <c r="BR218"/>
  <c r="BQ218"/>
  <c r="BP218"/>
  <c r="BO218"/>
  <c r="BN218"/>
  <c r="BM218"/>
  <c r="BL218"/>
  <c r="BK218"/>
  <c r="BJ218"/>
  <c r="BI218"/>
  <c r="BH218"/>
  <c r="BG218"/>
  <c r="BF218"/>
  <c r="BE218"/>
  <c r="BD218"/>
  <c r="BC218"/>
  <c r="BB218"/>
  <c r="BA218"/>
  <c r="AZ218"/>
  <c r="AY218"/>
  <c r="AX218"/>
  <c r="AW218"/>
  <c r="AV218"/>
  <c r="AU218"/>
  <c r="AT218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C218"/>
  <c r="B218"/>
  <c r="A218"/>
  <c r="CJ217"/>
  <c r="CI217"/>
  <c r="CH217"/>
  <c r="CG217"/>
  <c r="CF217"/>
  <c r="CE217"/>
  <c r="CD217"/>
  <c r="CC217"/>
  <c r="CB217"/>
  <c r="CA217"/>
  <c r="BZ217"/>
  <c r="BY217"/>
  <c r="BX217"/>
  <c r="BW217"/>
  <c r="BV217"/>
  <c r="BU217"/>
  <c r="BT217"/>
  <c r="BS217"/>
  <c r="BR217"/>
  <c r="BQ217"/>
  <c r="BP217"/>
  <c r="BO217"/>
  <c r="BN217"/>
  <c r="BM217"/>
  <c r="BL217"/>
  <c r="BK217"/>
  <c r="BJ217"/>
  <c r="BI217"/>
  <c r="BH217"/>
  <c r="BG217"/>
  <c r="BF217"/>
  <c r="BE217"/>
  <c r="BD217"/>
  <c r="BC217"/>
  <c r="BB217"/>
  <c r="BA217"/>
  <c r="AZ217"/>
  <c r="AY217"/>
  <c r="AX217"/>
  <c r="AW217"/>
  <c r="AV217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A217"/>
  <c r="CJ216"/>
  <c r="CI216"/>
  <c r="CH216"/>
  <c r="CG216"/>
  <c r="CF216"/>
  <c r="CE216"/>
  <c r="CD216"/>
  <c r="CC216"/>
  <c r="CB216"/>
  <c r="CA216"/>
  <c r="BZ216"/>
  <c r="BY216"/>
  <c r="BX216"/>
  <c r="BW216"/>
  <c r="BV216"/>
  <c r="BU216"/>
  <c r="BT216"/>
  <c r="BS216"/>
  <c r="BR216"/>
  <c r="BQ216"/>
  <c r="BP216"/>
  <c r="BO216"/>
  <c r="BN216"/>
  <c r="BM216"/>
  <c r="BL216"/>
  <c r="BK216"/>
  <c r="BJ216"/>
  <c r="BI216"/>
  <c r="BH216"/>
  <c r="BG216"/>
  <c r="BF216"/>
  <c r="BE216"/>
  <c r="BD216"/>
  <c r="BC216"/>
  <c r="BB216"/>
  <c r="BA216"/>
  <c r="AZ216"/>
  <c r="AY216"/>
  <c r="AX216"/>
  <c r="AW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C216"/>
  <c r="B216"/>
  <c r="A216"/>
  <c r="CJ215"/>
  <c r="CI215"/>
  <c r="CH215"/>
  <c r="CG215"/>
  <c r="CF215"/>
  <c r="CE215"/>
  <c r="CD215"/>
  <c r="CC215"/>
  <c r="CB215"/>
  <c r="CA215"/>
  <c r="BZ215"/>
  <c r="BY215"/>
  <c r="BX215"/>
  <c r="BW215"/>
  <c r="BV215"/>
  <c r="BU215"/>
  <c r="BT215"/>
  <c r="BS215"/>
  <c r="BR215"/>
  <c r="BQ215"/>
  <c r="BP215"/>
  <c r="BO215"/>
  <c r="BN215"/>
  <c r="BM215"/>
  <c r="BL215"/>
  <c r="BK215"/>
  <c r="BJ215"/>
  <c r="BI215"/>
  <c r="BH215"/>
  <c r="BG215"/>
  <c r="BF215"/>
  <c r="BE215"/>
  <c r="BD215"/>
  <c r="BC215"/>
  <c r="BB215"/>
  <c r="BA215"/>
  <c r="AZ215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D215"/>
  <c r="C215"/>
  <c r="B215"/>
  <c r="A215"/>
  <c r="CJ214"/>
  <c r="CI214"/>
  <c r="CH214"/>
  <c r="CG214"/>
  <c r="CF214"/>
  <c r="CE214"/>
  <c r="CD214"/>
  <c r="CC214"/>
  <c r="CB214"/>
  <c r="CA214"/>
  <c r="BZ214"/>
  <c r="BY214"/>
  <c r="BX214"/>
  <c r="BW214"/>
  <c r="BV214"/>
  <c r="BU214"/>
  <c r="BT214"/>
  <c r="BS214"/>
  <c r="BR214"/>
  <c r="BQ214"/>
  <c r="BP214"/>
  <c r="BO214"/>
  <c r="BN214"/>
  <c r="BM214"/>
  <c r="BL214"/>
  <c r="BK214"/>
  <c r="BJ214"/>
  <c r="BI214"/>
  <c r="BH214"/>
  <c r="BG214"/>
  <c r="BF214"/>
  <c r="BE214"/>
  <c r="BD214"/>
  <c r="BC214"/>
  <c r="BB214"/>
  <c r="BA214"/>
  <c r="AZ214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C214"/>
  <c r="B214"/>
  <c r="A214"/>
  <c r="CJ213"/>
  <c r="CI213"/>
  <c r="CH213"/>
  <c r="CG213"/>
  <c r="CF213"/>
  <c r="CE213"/>
  <c r="CD213"/>
  <c r="CC213"/>
  <c r="CB213"/>
  <c r="CA213"/>
  <c r="BZ213"/>
  <c r="BY213"/>
  <c r="BX213"/>
  <c r="BW213"/>
  <c r="BV213"/>
  <c r="BU213"/>
  <c r="BT213"/>
  <c r="BS213"/>
  <c r="BR213"/>
  <c r="BQ213"/>
  <c r="BP213"/>
  <c r="BO213"/>
  <c r="BN213"/>
  <c r="BM213"/>
  <c r="BL213"/>
  <c r="BK213"/>
  <c r="BJ213"/>
  <c r="BI213"/>
  <c r="BH213"/>
  <c r="BG213"/>
  <c r="BF213"/>
  <c r="BE213"/>
  <c r="BD213"/>
  <c r="BC213"/>
  <c r="BB213"/>
  <c r="BA213"/>
  <c r="AZ213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C213"/>
  <c r="B213"/>
  <c r="A213"/>
  <c r="CJ212"/>
  <c r="CI212"/>
  <c r="CH212"/>
  <c r="CG212"/>
  <c r="CF212"/>
  <c r="CE212"/>
  <c r="CD212"/>
  <c r="CC212"/>
  <c r="CB212"/>
  <c r="CA212"/>
  <c r="BZ212"/>
  <c r="BY212"/>
  <c r="BX212"/>
  <c r="BW212"/>
  <c r="BV212"/>
  <c r="BU212"/>
  <c r="BT212"/>
  <c r="BS212"/>
  <c r="BR212"/>
  <c r="BQ212"/>
  <c r="BP212"/>
  <c r="BO212"/>
  <c r="BN212"/>
  <c r="BM212"/>
  <c r="BL212"/>
  <c r="BK212"/>
  <c r="BJ212"/>
  <c r="BI212"/>
  <c r="BH212"/>
  <c r="BG212"/>
  <c r="BF212"/>
  <c r="BE212"/>
  <c r="BD212"/>
  <c r="BC212"/>
  <c r="BB212"/>
  <c r="BA212"/>
  <c r="AZ212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C212"/>
  <c r="B212"/>
  <c r="A212"/>
  <c r="CJ211"/>
  <c r="CI211"/>
  <c r="CH211"/>
  <c r="CG211"/>
  <c r="CF211"/>
  <c r="CE211"/>
  <c r="CD211"/>
  <c r="CC211"/>
  <c r="CB211"/>
  <c r="CA211"/>
  <c r="BZ211"/>
  <c r="BY211"/>
  <c r="BX211"/>
  <c r="BW211"/>
  <c r="BV211"/>
  <c r="BU211"/>
  <c r="BT211"/>
  <c r="BS211"/>
  <c r="BR211"/>
  <c r="BQ211"/>
  <c r="BP211"/>
  <c r="BO211"/>
  <c r="BN211"/>
  <c r="BM211"/>
  <c r="BL211"/>
  <c r="BK211"/>
  <c r="BJ211"/>
  <c r="BI211"/>
  <c r="BH211"/>
  <c r="BG211"/>
  <c r="BF211"/>
  <c r="BE211"/>
  <c r="BD211"/>
  <c r="BC211"/>
  <c r="BB211"/>
  <c r="BA211"/>
  <c r="AZ211"/>
  <c r="AY211"/>
  <c r="AX211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D211"/>
  <c r="C211"/>
  <c r="B211"/>
  <c r="A211"/>
  <c r="CJ210"/>
  <c r="CI210"/>
  <c r="CH210"/>
  <c r="CG210"/>
  <c r="CF210"/>
  <c r="CE210"/>
  <c r="CD210"/>
  <c r="CC210"/>
  <c r="CB210"/>
  <c r="CA210"/>
  <c r="BZ210"/>
  <c r="BY210"/>
  <c r="BX210"/>
  <c r="BW210"/>
  <c r="BV210"/>
  <c r="BU210"/>
  <c r="BT210"/>
  <c r="BS210"/>
  <c r="BR210"/>
  <c r="BQ210"/>
  <c r="BP210"/>
  <c r="BO210"/>
  <c r="BN210"/>
  <c r="BM210"/>
  <c r="BL210"/>
  <c r="BK210"/>
  <c r="BJ210"/>
  <c r="BI210"/>
  <c r="BH210"/>
  <c r="BG210"/>
  <c r="BF210"/>
  <c r="BE210"/>
  <c r="BD210"/>
  <c r="BC210"/>
  <c r="BB210"/>
  <c r="BA210"/>
  <c r="AZ210"/>
  <c r="AY210"/>
  <c r="AX210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C210"/>
  <c r="B210"/>
  <c r="A210"/>
  <c r="CJ209"/>
  <c r="CI209"/>
  <c r="CH209"/>
  <c r="CG209"/>
  <c r="CF209"/>
  <c r="CE209"/>
  <c r="CD209"/>
  <c r="CC209"/>
  <c r="CB209"/>
  <c r="CA209"/>
  <c r="BZ209"/>
  <c r="BY209"/>
  <c r="BX209"/>
  <c r="BW209"/>
  <c r="BV209"/>
  <c r="BU209"/>
  <c r="BT209"/>
  <c r="BS209"/>
  <c r="BR209"/>
  <c r="BQ209"/>
  <c r="BP209"/>
  <c r="BO209"/>
  <c r="BN209"/>
  <c r="BM209"/>
  <c r="BL209"/>
  <c r="BK209"/>
  <c r="BJ209"/>
  <c r="BI209"/>
  <c r="BH209"/>
  <c r="BG209"/>
  <c r="BF209"/>
  <c r="BE209"/>
  <c r="BD209"/>
  <c r="BC209"/>
  <c r="BB209"/>
  <c r="BA209"/>
  <c r="AZ209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C209"/>
  <c r="B209"/>
  <c r="A209"/>
  <c r="CJ208"/>
  <c r="CI208"/>
  <c r="CH208"/>
  <c r="CG208"/>
  <c r="CF208"/>
  <c r="CE208"/>
  <c r="CD208"/>
  <c r="CC208"/>
  <c r="CB208"/>
  <c r="CA208"/>
  <c r="BZ208"/>
  <c r="BY208"/>
  <c r="BX208"/>
  <c r="BW208"/>
  <c r="BV208"/>
  <c r="BU208"/>
  <c r="BT208"/>
  <c r="BS208"/>
  <c r="BR208"/>
  <c r="BQ208"/>
  <c r="BP208"/>
  <c r="BO208"/>
  <c r="BN208"/>
  <c r="BM208"/>
  <c r="BL208"/>
  <c r="BK208"/>
  <c r="BJ208"/>
  <c r="BI208"/>
  <c r="BH208"/>
  <c r="BG208"/>
  <c r="BF208"/>
  <c r="BE208"/>
  <c r="BD208"/>
  <c r="BC208"/>
  <c r="BB208"/>
  <c r="BA208"/>
  <c r="AZ208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C208"/>
  <c r="B208"/>
  <c r="A208"/>
  <c r="CJ207"/>
  <c r="CI207"/>
  <c r="CH207"/>
  <c r="CG207"/>
  <c r="CF207"/>
  <c r="CE207"/>
  <c r="CD207"/>
  <c r="CC207"/>
  <c r="CB207"/>
  <c r="CA207"/>
  <c r="BZ207"/>
  <c r="BY207"/>
  <c r="BX207"/>
  <c r="BW207"/>
  <c r="BV207"/>
  <c r="BU207"/>
  <c r="BT207"/>
  <c r="BS207"/>
  <c r="BR207"/>
  <c r="BQ207"/>
  <c r="BP207"/>
  <c r="BO207"/>
  <c r="BN207"/>
  <c r="BM207"/>
  <c r="BL207"/>
  <c r="BK207"/>
  <c r="BJ207"/>
  <c r="BI207"/>
  <c r="BH207"/>
  <c r="BG207"/>
  <c r="BF207"/>
  <c r="BE207"/>
  <c r="BD207"/>
  <c r="BC207"/>
  <c r="BB207"/>
  <c r="BA207"/>
  <c r="AZ207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C207"/>
  <c r="B207"/>
  <c r="A207"/>
  <c r="CJ206"/>
  <c r="CI206"/>
  <c r="CH206"/>
  <c r="CG206"/>
  <c r="CF206"/>
  <c r="CE206"/>
  <c r="CD206"/>
  <c r="CC206"/>
  <c r="CB206"/>
  <c r="CA206"/>
  <c r="BZ206"/>
  <c r="BY206"/>
  <c r="BX206"/>
  <c r="BW206"/>
  <c r="BV206"/>
  <c r="BU206"/>
  <c r="BT206"/>
  <c r="BS206"/>
  <c r="BR206"/>
  <c r="BQ206"/>
  <c r="BP206"/>
  <c r="BO206"/>
  <c r="BN206"/>
  <c r="BM206"/>
  <c r="BL206"/>
  <c r="BK206"/>
  <c r="BJ206"/>
  <c r="BI206"/>
  <c r="BH206"/>
  <c r="BG206"/>
  <c r="BF206"/>
  <c r="BE206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B206"/>
  <c r="A206"/>
  <c r="CJ205"/>
  <c r="CI205"/>
  <c r="CH205"/>
  <c r="CG205"/>
  <c r="CF205"/>
  <c r="CE205"/>
  <c r="CD205"/>
  <c r="CC205"/>
  <c r="CB205"/>
  <c r="CA205"/>
  <c r="BZ205"/>
  <c r="BY205"/>
  <c r="BX205"/>
  <c r="BW205"/>
  <c r="BV205"/>
  <c r="BU205"/>
  <c r="BT205"/>
  <c r="BS205"/>
  <c r="BR205"/>
  <c r="BQ205"/>
  <c r="BP205"/>
  <c r="BO205"/>
  <c r="BN205"/>
  <c r="BM205"/>
  <c r="BL205"/>
  <c r="BK205"/>
  <c r="BJ205"/>
  <c r="BI205"/>
  <c r="BH205"/>
  <c r="BG205"/>
  <c r="BF205"/>
  <c r="BE205"/>
  <c r="BD205"/>
  <c r="BC205"/>
  <c r="BB205"/>
  <c r="BA205"/>
  <c r="AZ205"/>
  <c r="AY205"/>
  <c r="AX205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B205"/>
  <c r="A205"/>
  <c r="CJ204"/>
  <c r="CI204"/>
  <c r="CH204"/>
  <c r="CG204"/>
  <c r="CF204"/>
  <c r="CE204"/>
  <c r="CD204"/>
  <c r="CC204"/>
  <c r="CB204"/>
  <c r="CA204"/>
  <c r="BZ204"/>
  <c r="BY204"/>
  <c r="BX204"/>
  <c r="BW204"/>
  <c r="BV204"/>
  <c r="BU204"/>
  <c r="BT204"/>
  <c r="BS204"/>
  <c r="BR204"/>
  <c r="BQ204"/>
  <c r="BP204"/>
  <c r="BO204"/>
  <c r="BN204"/>
  <c r="BM204"/>
  <c r="BL204"/>
  <c r="BK204"/>
  <c r="BJ204"/>
  <c r="BI204"/>
  <c r="BH204"/>
  <c r="BG204"/>
  <c r="BF204"/>
  <c r="BE204"/>
  <c r="BD204"/>
  <c r="BC204"/>
  <c r="BB204"/>
  <c r="BA204"/>
  <c r="AZ204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A204"/>
  <c r="CJ203"/>
  <c r="CI203"/>
  <c r="CH203"/>
  <c r="CG203"/>
  <c r="CF203"/>
  <c r="CE203"/>
  <c r="CD203"/>
  <c r="CC203"/>
  <c r="CB203"/>
  <c r="CA203"/>
  <c r="BZ203"/>
  <c r="BY203"/>
  <c r="BX203"/>
  <c r="BW203"/>
  <c r="BV203"/>
  <c r="BU203"/>
  <c r="BT203"/>
  <c r="BS203"/>
  <c r="BR203"/>
  <c r="BQ203"/>
  <c r="BP203"/>
  <c r="BO203"/>
  <c r="BN203"/>
  <c r="BM203"/>
  <c r="BL203"/>
  <c r="BK203"/>
  <c r="BJ203"/>
  <c r="BI203"/>
  <c r="BH203"/>
  <c r="BG203"/>
  <c r="BF203"/>
  <c r="BE203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B203"/>
  <c r="A203"/>
  <c r="CJ202"/>
  <c r="CI202"/>
  <c r="CH202"/>
  <c r="CG202"/>
  <c r="CF202"/>
  <c r="CE202"/>
  <c r="CD202"/>
  <c r="CC202"/>
  <c r="CB202"/>
  <c r="CA202"/>
  <c r="BZ202"/>
  <c r="BY202"/>
  <c r="BX202"/>
  <c r="BW202"/>
  <c r="BV202"/>
  <c r="BU202"/>
  <c r="BT202"/>
  <c r="BS202"/>
  <c r="BR202"/>
  <c r="BQ202"/>
  <c r="BP202"/>
  <c r="BO202"/>
  <c r="BN202"/>
  <c r="BM202"/>
  <c r="BL202"/>
  <c r="BK202"/>
  <c r="BJ202"/>
  <c r="BI202"/>
  <c r="BH202"/>
  <c r="BG202"/>
  <c r="BF202"/>
  <c r="BE202"/>
  <c r="BD202"/>
  <c r="BC202"/>
  <c r="BB202"/>
  <c r="BA202"/>
  <c r="AZ202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B202"/>
  <c r="A202"/>
  <c r="CJ201"/>
  <c r="CI201"/>
  <c r="CH201"/>
  <c r="CG201"/>
  <c r="CF201"/>
  <c r="CE201"/>
  <c r="CD201"/>
  <c r="CC201"/>
  <c r="CB201"/>
  <c r="CA201"/>
  <c r="BZ201"/>
  <c r="BY201"/>
  <c r="BX201"/>
  <c r="BW201"/>
  <c r="BV201"/>
  <c r="BU201"/>
  <c r="BT201"/>
  <c r="BS201"/>
  <c r="BR201"/>
  <c r="BQ201"/>
  <c r="BP201"/>
  <c r="BO201"/>
  <c r="BN201"/>
  <c r="BM201"/>
  <c r="BL201"/>
  <c r="BK201"/>
  <c r="BJ201"/>
  <c r="BI201"/>
  <c r="BH201"/>
  <c r="BG201"/>
  <c r="BF201"/>
  <c r="BE201"/>
  <c r="BD201"/>
  <c r="BC201"/>
  <c r="BB201"/>
  <c r="BA201"/>
  <c r="AZ201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A201"/>
  <c r="CJ200"/>
  <c r="CI200"/>
  <c r="CH200"/>
  <c r="CG200"/>
  <c r="CF200"/>
  <c r="CE200"/>
  <c r="CD200"/>
  <c r="CC200"/>
  <c r="CB200"/>
  <c r="CA200"/>
  <c r="BZ200"/>
  <c r="BY200"/>
  <c r="BX200"/>
  <c r="BW200"/>
  <c r="BV200"/>
  <c r="BU200"/>
  <c r="BT200"/>
  <c r="BS200"/>
  <c r="BR200"/>
  <c r="BQ200"/>
  <c r="BP200"/>
  <c r="BO200"/>
  <c r="BN200"/>
  <c r="BM200"/>
  <c r="BL200"/>
  <c r="BK200"/>
  <c r="BJ200"/>
  <c r="BI200"/>
  <c r="BH200"/>
  <c r="BG200"/>
  <c r="BF200"/>
  <c r="BE200"/>
  <c r="BD200"/>
  <c r="BC200"/>
  <c r="BB200"/>
  <c r="BA200"/>
  <c r="AZ200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A200"/>
  <c r="CJ199"/>
  <c r="CI199"/>
  <c r="CH199"/>
  <c r="CG199"/>
  <c r="CF199"/>
  <c r="CE199"/>
  <c r="CD199"/>
  <c r="CC199"/>
  <c r="CB199"/>
  <c r="CA199"/>
  <c r="BZ199"/>
  <c r="BY199"/>
  <c r="BX199"/>
  <c r="BW199"/>
  <c r="BV199"/>
  <c r="BU199"/>
  <c r="BT199"/>
  <c r="BS199"/>
  <c r="BR199"/>
  <c r="BQ199"/>
  <c r="BP199"/>
  <c r="BO199"/>
  <c r="BN199"/>
  <c r="BM199"/>
  <c r="BL199"/>
  <c r="BK199"/>
  <c r="BJ199"/>
  <c r="BI199"/>
  <c r="BH199"/>
  <c r="BG199"/>
  <c r="BF199"/>
  <c r="BE199"/>
  <c r="BD199"/>
  <c r="BC199"/>
  <c r="BB199"/>
  <c r="BA199"/>
  <c r="AZ199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A199"/>
  <c r="CJ198"/>
  <c r="CI198"/>
  <c r="CH198"/>
  <c r="CG198"/>
  <c r="CF198"/>
  <c r="CE198"/>
  <c r="CD198"/>
  <c r="CC198"/>
  <c r="CB198"/>
  <c r="CA198"/>
  <c r="BZ198"/>
  <c r="BY198"/>
  <c r="BX198"/>
  <c r="BW198"/>
  <c r="BV198"/>
  <c r="BU198"/>
  <c r="BT198"/>
  <c r="BS198"/>
  <c r="BR198"/>
  <c r="BQ198"/>
  <c r="BP198"/>
  <c r="BO198"/>
  <c r="BN198"/>
  <c r="BM198"/>
  <c r="BL198"/>
  <c r="BK198"/>
  <c r="BJ198"/>
  <c r="BI198"/>
  <c r="BH198"/>
  <c r="BG198"/>
  <c r="BF198"/>
  <c r="BE198"/>
  <c r="BD198"/>
  <c r="BC198"/>
  <c r="BB198"/>
  <c r="BA198"/>
  <c r="AZ198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A198"/>
  <c r="CJ197"/>
  <c r="CI197"/>
  <c r="CH197"/>
  <c r="CG197"/>
  <c r="CF197"/>
  <c r="CE197"/>
  <c r="CD197"/>
  <c r="CC197"/>
  <c r="CB197"/>
  <c r="CA197"/>
  <c r="BZ197"/>
  <c r="BY197"/>
  <c r="BX197"/>
  <c r="BW197"/>
  <c r="BV197"/>
  <c r="BU197"/>
  <c r="BT197"/>
  <c r="BS197"/>
  <c r="BR197"/>
  <c r="BQ197"/>
  <c r="BP197"/>
  <c r="BO197"/>
  <c r="BN197"/>
  <c r="BM197"/>
  <c r="BL197"/>
  <c r="BK197"/>
  <c r="BJ197"/>
  <c r="BI197"/>
  <c r="BH197"/>
  <c r="BG197"/>
  <c r="BF197"/>
  <c r="BE197"/>
  <c r="BD197"/>
  <c r="BC197"/>
  <c r="BB197"/>
  <c r="BA197"/>
  <c r="AZ197"/>
  <c r="AY197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A197"/>
  <c r="CJ196"/>
  <c r="CI196"/>
  <c r="CH196"/>
  <c r="CG196"/>
  <c r="CF196"/>
  <c r="CE196"/>
  <c r="CD196"/>
  <c r="CC196"/>
  <c r="CB196"/>
  <c r="CA196"/>
  <c r="BZ196"/>
  <c r="BY196"/>
  <c r="BX196"/>
  <c r="BW196"/>
  <c r="BV196"/>
  <c r="BU196"/>
  <c r="BT196"/>
  <c r="BS196"/>
  <c r="BR196"/>
  <c r="BQ196"/>
  <c r="BP196"/>
  <c r="BO196"/>
  <c r="BN196"/>
  <c r="BM196"/>
  <c r="BL196"/>
  <c r="BK196"/>
  <c r="BJ196"/>
  <c r="BI196"/>
  <c r="BH196"/>
  <c r="BG196"/>
  <c r="BF196"/>
  <c r="BE196"/>
  <c r="BD196"/>
  <c r="BC196"/>
  <c r="BB196"/>
  <c r="BA196"/>
  <c r="AZ196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A196"/>
  <c r="CJ195"/>
  <c r="CI195"/>
  <c r="CH195"/>
  <c r="CG195"/>
  <c r="CF195"/>
  <c r="CE195"/>
  <c r="CD195"/>
  <c r="CC195"/>
  <c r="CB195"/>
  <c r="CA195"/>
  <c r="BZ195"/>
  <c r="BY195"/>
  <c r="BX195"/>
  <c r="BW195"/>
  <c r="BV195"/>
  <c r="BU195"/>
  <c r="BT195"/>
  <c r="BS195"/>
  <c r="BR195"/>
  <c r="BQ195"/>
  <c r="BP195"/>
  <c r="BO195"/>
  <c r="BN195"/>
  <c r="BM195"/>
  <c r="BL195"/>
  <c r="BK195"/>
  <c r="BJ195"/>
  <c r="BI195"/>
  <c r="BH195"/>
  <c r="BG195"/>
  <c r="BF195"/>
  <c r="BE195"/>
  <c r="BD195"/>
  <c r="BC195"/>
  <c r="BB195"/>
  <c r="BA195"/>
  <c r="AZ195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A195"/>
  <c r="CJ194"/>
  <c r="CI194"/>
  <c r="CH194"/>
  <c r="CG194"/>
  <c r="CF194"/>
  <c r="CE194"/>
  <c r="CD194"/>
  <c r="CC194"/>
  <c r="CB194"/>
  <c r="CA194"/>
  <c r="BZ194"/>
  <c r="BY194"/>
  <c r="BX194"/>
  <c r="BW194"/>
  <c r="BV194"/>
  <c r="BU194"/>
  <c r="BT194"/>
  <c r="BS194"/>
  <c r="BR194"/>
  <c r="BQ194"/>
  <c r="BP194"/>
  <c r="BO194"/>
  <c r="BN194"/>
  <c r="BM194"/>
  <c r="BL194"/>
  <c r="BK194"/>
  <c r="BJ194"/>
  <c r="BI194"/>
  <c r="BH194"/>
  <c r="BG194"/>
  <c r="BF194"/>
  <c r="BE194"/>
  <c r="BD194"/>
  <c r="BC194"/>
  <c r="BB194"/>
  <c r="BA194"/>
  <c r="AZ194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A194"/>
  <c r="CJ193"/>
  <c r="CI193"/>
  <c r="CH193"/>
  <c r="CG193"/>
  <c r="CF193"/>
  <c r="CE193"/>
  <c r="CD193"/>
  <c r="CC193"/>
  <c r="CB193"/>
  <c r="CA193"/>
  <c r="BZ193"/>
  <c r="BY193"/>
  <c r="BX193"/>
  <c r="BW193"/>
  <c r="BV193"/>
  <c r="BU193"/>
  <c r="BT193"/>
  <c r="BS193"/>
  <c r="BR193"/>
  <c r="BQ193"/>
  <c r="BP193"/>
  <c r="BO193"/>
  <c r="BN193"/>
  <c r="BM193"/>
  <c r="BL193"/>
  <c r="BK193"/>
  <c r="BJ193"/>
  <c r="BI193"/>
  <c r="BH193"/>
  <c r="BG193"/>
  <c r="BF193"/>
  <c r="BE193"/>
  <c r="BD193"/>
  <c r="BC193"/>
  <c r="BB193"/>
  <c r="BA193"/>
  <c r="AZ193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A193"/>
  <c r="CJ192"/>
  <c r="CI192"/>
  <c r="CH192"/>
  <c r="CG192"/>
  <c r="CF192"/>
  <c r="CE192"/>
  <c r="CD192"/>
  <c r="CC192"/>
  <c r="CB192"/>
  <c r="CA192"/>
  <c r="BZ192"/>
  <c r="BY192"/>
  <c r="BX192"/>
  <c r="BW192"/>
  <c r="BV192"/>
  <c r="BU192"/>
  <c r="BT192"/>
  <c r="BS192"/>
  <c r="BR192"/>
  <c r="BQ192"/>
  <c r="BP192"/>
  <c r="BO192"/>
  <c r="BN192"/>
  <c r="BM192"/>
  <c r="BL192"/>
  <c r="BK192"/>
  <c r="BJ192"/>
  <c r="BI192"/>
  <c r="BH192"/>
  <c r="BG192"/>
  <c r="BF192"/>
  <c r="BE192"/>
  <c r="BD192"/>
  <c r="BC192"/>
  <c r="BB192"/>
  <c r="BA192"/>
  <c r="AZ192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A192"/>
  <c r="CJ191"/>
  <c r="CI191"/>
  <c r="CH191"/>
  <c r="CG191"/>
  <c r="CF191"/>
  <c r="CE191"/>
  <c r="CD191"/>
  <c r="CC191"/>
  <c r="CB191"/>
  <c r="CA191"/>
  <c r="BZ191"/>
  <c r="BY191"/>
  <c r="BX191"/>
  <c r="BW191"/>
  <c r="BV191"/>
  <c r="BU191"/>
  <c r="BT191"/>
  <c r="BS191"/>
  <c r="BR191"/>
  <c r="BQ191"/>
  <c r="BP191"/>
  <c r="BO191"/>
  <c r="BN191"/>
  <c r="BM191"/>
  <c r="BL191"/>
  <c r="BK191"/>
  <c r="BJ191"/>
  <c r="BI191"/>
  <c r="BH191"/>
  <c r="BG191"/>
  <c r="BF191"/>
  <c r="BE191"/>
  <c r="BD191"/>
  <c r="BC191"/>
  <c r="BB191"/>
  <c r="BA191"/>
  <c r="AZ191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A191"/>
  <c r="CJ190"/>
  <c r="CI190"/>
  <c r="CH190"/>
  <c r="CG190"/>
  <c r="CF190"/>
  <c r="CE190"/>
  <c r="CD190"/>
  <c r="CC190"/>
  <c r="CB190"/>
  <c r="CA190"/>
  <c r="BZ190"/>
  <c r="BY190"/>
  <c r="BX190"/>
  <c r="BW190"/>
  <c r="BV190"/>
  <c r="BU190"/>
  <c r="BT190"/>
  <c r="BS190"/>
  <c r="BR190"/>
  <c r="BQ190"/>
  <c r="BP190"/>
  <c r="BO190"/>
  <c r="BN190"/>
  <c r="BM190"/>
  <c r="BL190"/>
  <c r="BK190"/>
  <c r="BJ190"/>
  <c r="BI190"/>
  <c r="BH190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A190"/>
  <c r="CJ189"/>
  <c r="CI189"/>
  <c r="CH189"/>
  <c r="CG189"/>
  <c r="CF189"/>
  <c r="CE189"/>
  <c r="CD189"/>
  <c r="CC189"/>
  <c r="CB189"/>
  <c r="CA189"/>
  <c r="BZ189"/>
  <c r="BY189"/>
  <c r="BX189"/>
  <c r="BW189"/>
  <c r="BV189"/>
  <c r="BU189"/>
  <c r="BT189"/>
  <c r="BS189"/>
  <c r="BR189"/>
  <c r="BQ189"/>
  <c r="BP189"/>
  <c r="BO189"/>
  <c r="BN189"/>
  <c r="BM189"/>
  <c r="BL189"/>
  <c r="BK189"/>
  <c r="BJ189"/>
  <c r="BI189"/>
  <c r="BH189"/>
  <c r="BG189"/>
  <c r="BF189"/>
  <c r="BE189"/>
  <c r="BD189"/>
  <c r="BC189"/>
  <c r="BB189"/>
  <c r="BA189"/>
  <c r="AZ189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A189"/>
  <c r="CJ188"/>
  <c r="CI188"/>
  <c r="CH188"/>
  <c r="CG188"/>
  <c r="CF188"/>
  <c r="CE188"/>
  <c r="CD188"/>
  <c r="CC188"/>
  <c r="CB188"/>
  <c r="CA188"/>
  <c r="BZ188"/>
  <c r="BY188"/>
  <c r="BX188"/>
  <c r="BW188"/>
  <c r="BV188"/>
  <c r="BU188"/>
  <c r="BT188"/>
  <c r="BS188"/>
  <c r="BR188"/>
  <c r="BQ188"/>
  <c r="BP188"/>
  <c r="BO188"/>
  <c r="BN188"/>
  <c r="BM188"/>
  <c r="BL188"/>
  <c r="BK188"/>
  <c r="BJ188"/>
  <c r="BI188"/>
  <c r="BH188"/>
  <c r="BG188"/>
  <c r="BF188"/>
  <c r="BE188"/>
  <c r="BD188"/>
  <c r="BC188"/>
  <c r="BB188"/>
  <c r="BA188"/>
  <c r="AZ188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A188"/>
  <c r="CJ187"/>
  <c r="CI187"/>
  <c r="CH187"/>
  <c r="CG187"/>
  <c r="CF187"/>
  <c r="CE187"/>
  <c r="CD187"/>
  <c r="CC187"/>
  <c r="CB187"/>
  <c r="CA187"/>
  <c r="BZ187"/>
  <c r="BY187"/>
  <c r="BX187"/>
  <c r="BW187"/>
  <c r="BV187"/>
  <c r="BU187"/>
  <c r="BT187"/>
  <c r="BS187"/>
  <c r="BR187"/>
  <c r="BQ187"/>
  <c r="BP187"/>
  <c r="BO187"/>
  <c r="BN187"/>
  <c r="BM187"/>
  <c r="BL187"/>
  <c r="BK187"/>
  <c r="BJ187"/>
  <c r="BI187"/>
  <c r="BH187"/>
  <c r="BG187"/>
  <c r="BF187"/>
  <c r="BE187"/>
  <c r="BD187"/>
  <c r="BC187"/>
  <c r="BB187"/>
  <c r="BA187"/>
  <c r="AZ187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A187"/>
  <c r="CJ186"/>
  <c r="CI186"/>
  <c r="CH186"/>
  <c r="CG186"/>
  <c r="CF186"/>
  <c r="CE186"/>
  <c r="CD186"/>
  <c r="CC186"/>
  <c r="CB186"/>
  <c r="CA186"/>
  <c r="BZ186"/>
  <c r="BY186"/>
  <c r="BX186"/>
  <c r="BW186"/>
  <c r="BV186"/>
  <c r="BU186"/>
  <c r="BT186"/>
  <c r="BS186"/>
  <c r="BR186"/>
  <c r="BQ186"/>
  <c r="BP186"/>
  <c r="BO186"/>
  <c r="BN186"/>
  <c r="BM186"/>
  <c r="BL186"/>
  <c r="BK186"/>
  <c r="BJ186"/>
  <c r="BI186"/>
  <c r="BH186"/>
  <c r="BG186"/>
  <c r="BF186"/>
  <c r="BE186"/>
  <c r="BD186"/>
  <c r="BC186"/>
  <c r="BB186"/>
  <c r="BA186"/>
  <c r="AZ186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A186"/>
  <c r="CJ185"/>
  <c r="CI185"/>
  <c r="CH185"/>
  <c r="CG185"/>
  <c r="CF185"/>
  <c r="CE185"/>
  <c r="CD185"/>
  <c r="CC185"/>
  <c r="CB185"/>
  <c r="CA185"/>
  <c r="BZ185"/>
  <c r="BY185"/>
  <c r="BX185"/>
  <c r="BW185"/>
  <c r="BV185"/>
  <c r="BU185"/>
  <c r="BT185"/>
  <c r="BS185"/>
  <c r="BR185"/>
  <c r="BQ185"/>
  <c r="BP185"/>
  <c r="BO185"/>
  <c r="BN185"/>
  <c r="BM185"/>
  <c r="BL185"/>
  <c r="BK185"/>
  <c r="BJ185"/>
  <c r="BI185"/>
  <c r="BH185"/>
  <c r="BG185"/>
  <c r="BF185"/>
  <c r="BE185"/>
  <c r="BD185"/>
  <c r="BC185"/>
  <c r="BB185"/>
  <c r="BA185"/>
  <c r="AZ185"/>
  <c r="AY185"/>
  <c r="AX185"/>
  <c r="AW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A185"/>
  <c r="CJ184"/>
  <c r="CI184"/>
  <c r="CH184"/>
  <c r="CG184"/>
  <c r="CF184"/>
  <c r="CE184"/>
  <c r="CD184"/>
  <c r="CC184"/>
  <c r="CB184"/>
  <c r="CA184"/>
  <c r="BZ184"/>
  <c r="BY184"/>
  <c r="BX184"/>
  <c r="BW184"/>
  <c r="BV184"/>
  <c r="BU184"/>
  <c r="BT184"/>
  <c r="BS184"/>
  <c r="BR184"/>
  <c r="BQ184"/>
  <c r="BP184"/>
  <c r="BO184"/>
  <c r="BN184"/>
  <c r="BM184"/>
  <c r="BL184"/>
  <c r="BK184"/>
  <c r="BJ184"/>
  <c r="BI184"/>
  <c r="BH184"/>
  <c r="BG184"/>
  <c r="BF184"/>
  <c r="BE184"/>
  <c r="BD184"/>
  <c r="BC184"/>
  <c r="BB184"/>
  <c r="BA184"/>
  <c r="AZ184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A184"/>
  <c r="CJ183"/>
  <c r="CI183"/>
  <c r="CH183"/>
  <c r="CG183"/>
  <c r="CF183"/>
  <c r="CE183"/>
  <c r="CD183"/>
  <c r="CC183"/>
  <c r="CB183"/>
  <c r="CA183"/>
  <c r="BZ183"/>
  <c r="BY183"/>
  <c r="BX183"/>
  <c r="BW183"/>
  <c r="BV183"/>
  <c r="BU183"/>
  <c r="BT183"/>
  <c r="BS183"/>
  <c r="BR183"/>
  <c r="BQ183"/>
  <c r="BP183"/>
  <c r="BO183"/>
  <c r="BN183"/>
  <c r="BM183"/>
  <c r="BL183"/>
  <c r="BK183"/>
  <c r="BJ183"/>
  <c r="BI183"/>
  <c r="BH183"/>
  <c r="BG183"/>
  <c r="BF183"/>
  <c r="BE183"/>
  <c r="BD183"/>
  <c r="BC183"/>
  <c r="BB183"/>
  <c r="BA183"/>
  <c r="AZ183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A183"/>
  <c r="CJ182"/>
  <c r="CI182"/>
  <c r="CH182"/>
  <c r="CG182"/>
  <c r="CF182"/>
  <c r="CE182"/>
  <c r="CD182"/>
  <c r="CC182"/>
  <c r="CB182"/>
  <c r="CA182"/>
  <c r="BZ182"/>
  <c r="BY182"/>
  <c r="BX182"/>
  <c r="BW182"/>
  <c r="BV182"/>
  <c r="BU182"/>
  <c r="BT182"/>
  <c r="BS182"/>
  <c r="BR182"/>
  <c r="BQ182"/>
  <c r="BP182"/>
  <c r="BO182"/>
  <c r="BN182"/>
  <c r="BM182"/>
  <c r="BL182"/>
  <c r="BK182"/>
  <c r="BJ182"/>
  <c r="BI182"/>
  <c r="BH182"/>
  <c r="BG182"/>
  <c r="BF182"/>
  <c r="BE182"/>
  <c r="BD182"/>
  <c r="BC182"/>
  <c r="BB182"/>
  <c r="BA182"/>
  <c r="AZ182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A182"/>
  <c r="CJ181"/>
  <c r="CI181"/>
  <c r="CH181"/>
  <c r="CG181"/>
  <c r="CF181"/>
  <c r="CE181"/>
  <c r="CD181"/>
  <c r="CC181"/>
  <c r="CB181"/>
  <c r="CA181"/>
  <c r="BZ181"/>
  <c r="BY181"/>
  <c r="BX181"/>
  <c r="BW181"/>
  <c r="BV181"/>
  <c r="BU181"/>
  <c r="BT181"/>
  <c r="BS181"/>
  <c r="BR181"/>
  <c r="BQ181"/>
  <c r="BP181"/>
  <c r="BO181"/>
  <c r="BN181"/>
  <c r="BM181"/>
  <c r="BL181"/>
  <c r="BK181"/>
  <c r="BJ181"/>
  <c r="BI181"/>
  <c r="BH181"/>
  <c r="BG181"/>
  <c r="BF181"/>
  <c r="BE181"/>
  <c r="BD181"/>
  <c r="BC181"/>
  <c r="BB181"/>
  <c r="BA181"/>
  <c r="AZ181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A181"/>
  <c r="CJ180"/>
  <c r="CI180"/>
  <c r="CH180"/>
  <c r="CG180"/>
  <c r="CF180"/>
  <c r="CE180"/>
  <c r="CD180"/>
  <c r="CC180"/>
  <c r="CB180"/>
  <c r="CA180"/>
  <c r="BZ180"/>
  <c r="BY180"/>
  <c r="BX180"/>
  <c r="BW180"/>
  <c r="BV180"/>
  <c r="BU180"/>
  <c r="BT180"/>
  <c r="BS180"/>
  <c r="BR180"/>
  <c r="BQ180"/>
  <c r="BP180"/>
  <c r="BO180"/>
  <c r="BN180"/>
  <c r="BM180"/>
  <c r="BL180"/>
  <c r="BK180"/>
  <c r="BJ180"/>
  <c r="BI180"/>
  <c r="BH180"/>
  <c r="BG180"/>
  <c r="BF180"/>
  <c r="BE180"/>
  <c r="BD180"/>
  <c r="BC180"/>
  <c r="BB180"/>
  <c r="BA180"/>
  <c r="AZ180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A180"/>
  <c r="CJ179"/>
  <c r="CI179"/>
  <c r="CH179"/>
  <c r="CG179"/>
  <c r="CF179"/>
  <c r="CE179"/>
  <c r="CD179"/>
  <c r="CC179"/>
  <c r="CB179"/>
  <c r="CA179"/>
  <c r="BZ179"/>
  <c r="BY179"/>
  <c r="BX179"/>
  <c r="BW179"/>
  <c r="BV179"/>
  <c r="BU179"/>
  <c r="BT179"/>
  <c r="BS179"/>
  <c r="BR179"/>
  <c r="BQ179"/>
  <c r="BP179"/>
  <c r="BO179"/>
  <c r="BN179"/>
  <c r="BM179"/>
  <c r="BL179"/>
  <c r="BK179"/>
  <c r="BJ179"/>
  <c r="BI179"/>
  <c r="BH179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A179"/>
  <c r="CJ178"/>
  <c r="CI178"/>
  <c r="CH178"/>
  <c r="CG178"/>
  <c r="CF178"/>
  <c r="CE178"/>
  <c r="CD178"/>
  <c r="CC178"/>
  <c r="CB178"/>
  <c r="CA178"/>
  <c r="BZ178"/>
  <c r="BY178"/>
  <c r="BX178"/>
  <c r="BW178"/>
  <c r="BV178"/>
  <c r="BU178"/>
  <c r="BT178"/>
  <c r="BS178"/>
  <c r="BR178"/>
  <c r="BQ178"/>
  <c r="BP178"/>
  <c r="BO178"/>
  <c r="BN178"/>
  <c r="BM178"/>
  <c r="BL178"/>
  <c r="BK178"/>
  <c r="BJ178"/>
  <c r="BI178"/>
  <c r="BH178"/>
  <c r="BG178"/>
  <c r="BF178"/>
  <c r="BE178"/>
  <c r="BD178"/>
  <c r="BC178"/>
  <c r="BB178"/>
  <c r="BA178"/>
  <c r="AZ178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A178"/>
  <c r="CJ177"/>
  <c r="CI177"/>
  <c r="CH177"/>
  <c r="CG177"/>
  <c r="CF177"/>
  <c r="CE177"/>
  <c r="CD177"/>
  <c r="CC177"/>
  <c r="CB177"/>
  <c r="CA177"/>
  <c r="BZ177"/>
  <c r="BY177"/>
  <c r="BX177"/>
  <c r="BW177"/>
  <c r="BV177"/>
  <c r="BU177"/>
  <c r="BT177"/>
  <c r="BS177"/>
  <c r="BR177"/>
  <c r="BQ177"/>
  <c r="BP177"/>
  <c r="BO177"/>
  <c r="BN177"/>
  <c r="BM177"/>
  <c r="BL177"/>
  <c r="BK177"/>
  <c r="BJ177"/>
  <c r="BI177"/>
  <c r="BH177"/>
  <c r="BG177"/>
  <c r="BF177"/>
  <c r="BE177"/>
  <c r="BD177"/>
  <c r="BC177"/>
  <c r="BB177"/>
  <c r="BA177"/>
  <c r="AZ177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A177"/>
  <c r="CJ176"/>
  <c r="CI176"/>
  <c r="CH176"/>
  <c r="CG176"/>
  <c r="CF176"/>
  <c r="CE176"/>
  <c r="CD176"/>
  <c r="CC176"/>
  <c r="CB176"/>
  <c r="CA176"/>
  <c r="BZ176"/>
  <c r="BY176"/>
  <c r="BX176"/>
  <c r="BW176"/>
  <c r="BV176"/>
  <c r="BU176"/>
  <c r="BT176"/>
  <c r="BS176"/>
  <c r="BR176"/>
  <c r="BQ176"/>
  <c r="BP176"/>
  <c r="BO176"/>
  <c r="BN176"/>
  <c r="BM176"/>
  <c r="BL176"/>
  <c r="BK176"/>
  <c r="BJ176"/>
  <c r="BI176"/>
  <c r="BH176"/>
  <c r="BG176"/>
  <c r="BF176"/>
  <c r="BE176"/>
  <c r="BD176"/>
  <c r="BC176"/>
  <c r="BB176"/>
  <c r="BA176"/>
  <c r="AZ176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A176"/>
  <c r="CJ175"/>
  <c r="CI175"/>
  <c r="CH175"/>
  <c r="CG175"/>
  <c r="CF175"/>
  <c r="CE175"/>
  <c r="CD175"/>
  <c r="CC175"/>
  <c r="CB175"/>
  <c r="CA175"/>
  <c r="BZ175"/>
  <c r="BY175"/>
  <c r="BX175"/>
  <c r="BW175"/>
  <c r="BV175"/>
  <c r="BU175"/>
  <c r="BT175"/>
  <c r="BS175"/>
  <c r="BR175"/>
  <c r="BQ175"/>
  <c r="BP175"/>
  <c r="BO175"/>
  <c r="BN175"/>
  <c r="BM175"/>
  <c r="BL175"/>
  <c r="BK175"/>
  <c r="BJ175"/>
  <c r="BI175"/>
  <c r="BH175"/>
  <c r="BG175"/>
  <c r="BF175"/>
  <c r="BE175"/>
  <c r="BD175"/>
  <c r="BC175"/>
  <c r="BB175"/>
  <c r="BA175"/>
  <c r="AZ175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A175"/>
  <c r="CJ174"/>
  <c r="CI174"/>
  <c r="CH174"/>
  <c r="CG174"/>
  <c r="CF174"/>
  <c r="CE174"/>
  <c r="CD174"/>
  <c r="CC174"/>
  <c r="CB174"/>
  <c r="CA174"/>
  <c r="BZ174"/>
  <c r="BY174"/>
  <c r="BX174"/>
  <c r="BW174"/>
  <c r="BV174"/>
  <c r="BU174"/>
  <c r="BT174"/>
  <c r="BS174"/>
  <c r="BR174"/>
  <c r="BQ174"/>
  <c r="BP174"/>
  <c r="BO174"/>
  <c r="BN174"/>
  <c r="BM174"/>
  <c r="BL174"/>
  <c r="BK174"/>
  <c r="BJ174"/>
  <c r="BI174"/>
  <c r="BH174"/>
  <c r="BG174"/>
  <c r="BF174"/>
  <c r="BE174"/>
  <c r="BD174"/>
  <c r="BC174"/>
  <c r="BB174"/>
  <c r="BA174"/>
  <c r="AZ174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174"/>
  <c r="CJ173"/>
  <c r="CI173"/>
  <c r="CH173"/>
  <c r="CG173"/>
  <c r="CF173"/>
  <c r="CE173"/>
  <c r="CD173"/>
  <c r="CC173"/>
  <c r="CB173"/>
  <c r="CA173"/>
  <c r="BZ173"/>
  <c r="BY173"/>
  <c r="BX173"/>
  <c r="BW173"/>
  <c r="BV173"/>
  <c r="BU173"/>
  <c r="BT173"/>
  <c r="BS173"/>
  <c r="BR173"/>
  <c r="BQ173"/>
  <c r="BP173"/>
  <c r="BO173"/>
  <c r="BN173"/>
  <c r="BM173"/>
  <c r="BL173"/>
  <c r="BK173"/>
  <c r="BJ173"/>
  <c r="BI173"/>
  <c r="BH173"/>
  <c r="BG173"/>
  <c r="BF173"/>
  <c r="BE173"/>
  <c r="BD173"/>
  <c r="BC173"/>
  <c r="BB173"/>
  <c r="BA173"/>
  <c r="AZ173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173"/>
  <c r="CJ172"/>
  <c r="CI172"/>
  <c r="CH172"/>
  <c r="CG172"/>
  <c r="CF172"/>
  <c r="CE172"/>
  <c r="CD172"/>
  <c r="CC172"/>
  <c r="CB172"/>
  <c r="CA172"/>
  <c r="BZ172"/>
  <c r="BY172"/>
  <c r="BX172"/>
  <c r="BW172"/>
  <c r="BV172"/>
  <c r="BU172"/>
  <c r="BT172"/>
  <c r="BS172"/>
  <c r="BR172"/>
  <c r="BQ172"/>
  <c r="BP172"/>
  <c r="BO172"/>
  <c r="BN172"/>
  <c r="BM172"/>
  <c r="BL172"/>
  <c r="BK172"/>
  <c r="BJ172"/>
  <c r="BI172"/>
  <c r="BH172"/>
  <c r="BG172"/>
  <c r="BF172"/>
  <c r="BE172"/>
  <c r="BD172"/>
  <c r="BC172"/>
  <c r="BB172"/>
  <c r="BA172"/>
  <c r="AZ172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172"/>
  <c r="CJ171"/>
  <c r="CI171"/>
  <c r="CH171"/>
  <c r="CG171"/>
  <c r="CF171"/>
  <c r="CE171"/>
  <c r="CD171"/>
  <c r="CC171"/>
  <c r="CB171"/>
  <c r="CA171"/>
  <c r="BZ171"/>
  <c r="BY171"/>
  <c r="BX171"/>
  <c r="BW171"/>
  <c r="BV171"/>
  <c r="BU171"/>
  <c r="BT171"/>
  <c r="BS171"/>
  <c r="BR171"/>
  <c r="BQ171"/>
  <c r="BP171"/>
  <c r="BO171"/>
  <c r="BN171"/>
  <c r="BM171"/>
  <c r="BL171"/>
  <c r="BK171"/>
  <c r="BJ171"/>
  <c r="BI171"/>
  <c r="BH171"/>
  <c r="BG171"/>
  <c r="BF171"/>
  <c r="BE171"/>
  <c r="BD171"/>
  <c r="BC171"/>
  <c r="BB171"/>
  <c r="BA171"/>
  <c r="AZ171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A171"/>
  <c r="CJ170"/>
  <c r="CI170"/>
  <c r="CH170"/>
  <c r="CG170"/>
  <c r="CF170"/>
  <c r="CE170"/>
  <c r="CD170"/>
  <c r="CC170"/>
  <c r="CB170"/>
  <c r="CA170"/>
  <c r="BZ170"/>
  <c r="BY170"/>
  <c r="BX170"/>
  <c r="BW170"/>
  <c r="BV170"/>
  <c r="BU170"/>
  <c r="BT170"/>
  <c r="BS170"/>
  <c r="BR170"/>
  <c r="BQ170"/>
  <c r="BP170"/>
  <c r="BO170"/>
  <c r="BN170"/>
  <c r="BM170"/>
  <c r="BL170"/>
  <c r="BK170"/>
  <c r="BJ170"/>
  <c r="BI170"/>
  <c r="BH170"/>
  <c r="BG170"/>
  <c r="BF170"/>
  <c r="BE170"/>
  <c r="BD170"/>
  <c r="BC170"/>
  <c r="BB170"/>
  <c r="BA170"/>
  <c r="AZ170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A170"/>
  <c r="CJ169"/>
  <c r="CI169"/>
  <c r="CH169"/>
  <c r="CG169"/>
  <c r="CF169"/>
  <c r="CE169"/>
  <c r="CD169"/>
  <c r="CC169"/>
  <c r="CB169"/>
  <c r="CA169"/>
  <c r="BZ169"/>
  <c r="BY169"/>
  <c r="BX169"/>
  <c r="BW169"/>
  <c r="BV169"/>
  <c r="BU169"/>
  <c r="BT169"/>
  <c r="BS169"/>
  <c r="BR169"/>
  <c r="BQ169"/>
  <c r="BP169"/>
  <c r="BO169"/>
  <c r="BN169"/>
  <c r="BM169"/>
  <c r="BL169"/>
  <c r="BK169"/>
  <c r="BJ169"/>
  <c r="BI169"/>
  <c r="BH169"/>
  <c r="BG169"/>
  <c r="BF169"/>
  <c r="BE169"/>
  <c r="BD169"/>
  <c r="BC169"/>
  <c r="BB169"/>
  <c r="BA169"/>
  <c r="AZ169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A169"/>
  <c r="CJ168"/>
  <c r="CI168"/>
  <c r="CH168"/>
  <c r="CG168"/>
  <c r="CF168"/>
  <c r="CE168"/>
  <c r="CD168"/>
  <c r="CC168"/>
  <c r="CB168"/>
  <c r="CA168"/>
  <c r="BZ168"/>
  <c r="BY168"/>
  <c r="BX168"/>
  <c r="BW168"/>
  <c r="BV168"/>
  <c r="BU168"/>
  <c r="BT168"/>
  <c r="BS168"/>
  <c r="BR168"/>
  <c r="BQ168"/>
  <c r="BP168"/>
  <c r="BO168"/>
  <c r="BN168"/>
  <c r="BM168"/>
  <c r="BL168"/>
  <c r="BK168"/>
  <c r="BJ168"/>
  <c r="BI168"/>
  <c r="BH168"/>
  <c r="BG168"/>
  <c r="BF168"/>
  <c r="BE168"/>
  <c r="BD168"/>
  <c r="BC168"/>
  <c r="BB168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A168"/>
  <c r="CJ167"/>
  <c r="CI167"/>
  <c r="CH167"/>
  <c r="CG167"/>
  <c r="CF167"/>
  <c r="CE167"/>
  <c r="CD167"/>
  <c r="CC167"/>
  <c r="CB167"/>
  <c r="CA167"/>
  <c r="BZ167"/>
  <c r="BY167"/>
  <c r="BX167"/>
  <c r="BW167"/>
  <c r="BV167"/>
  <c r="BU167"/>
  <c r="BT167"/>
  <c r="BS167"/>
  <c r="BR167"/>
  <c r="BQ167"/>
  <c r="BP167"/>
  <c r="BO167"/>
  <c r="BN167"/>
  <c r="BM167"/>
  <c r="BL167"/>
  <c r="BK167"/>
  <c r="BJ167"/>
  <c r="BI167"/>
  <c r="BH167"/>
  <c r="BG167"/>
  <c r="BF167"/>
  <c r="BE167"/>
  <c r="BD167"/>
  <c r="BC167"/>
  <c r="BB167"/>
  <c r="BA167"/>
  <c r="AZ167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A167"/>
  <c r="CJ166"/>
  <c r="CI166"/>
  <c r="CH166"/>
  <c r="CG166"/>
  <c r="CF166"/>
  <c r="CE166"/>
  <c r="CD166"/>
  <c r="CC166"/>
  <c r="CB166"/>
  <c r="CA166"/>
  <c r="BZ166"/>
  <c r="BY166"/>
  <c r="BX166"/>
  <c r="BW166"/>
  <c r="BV166"/>
  <c r="BU166"/>
  <c r="BT166"/>
  <c r="BS166"/>
  <c r="BR166"/>
  <c r="BQ166"/>
  <c r="BP166"/>
  <c r="BO166"/>
  <c r="BN166"/>
  <c r="BM166"/>
  <c r="BL166"/>
  <c r="BK166"/>
  <c r="BJ166"/>
  <c r="BI166"/>
  <c r="BH166"/>
  <c r="BG166"/>
  <c r="BF166"/>
  <c r="BE166"/>
  <c r="BD166"/>
  <c r="BC166"/>
  <c r="BB166"/>
  <c r="BA166"/>
  <c r="AZ166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A166"/>
  <c r="CJ165"/>
  <c r="CI165"/>
  <c r="CH165"/>
  <c r="CG165"/>
  <c r="CF165"/>
  <c r="CE165"/>
  <c r="CD165"/>
  <c r="CC165"/>
  <c r="CB165"/>
  <c r="CA165"/>
  <c r="BZ165"/>
  <c r="BY165"/>
  <c r="BX165"/>
  <c r="BW165"/>
  <c r="BV165"/>
  <c r="BU165"/>
  <c r="BT165"/>
  <c r="BS165"/>
  <c r="BR165"/>
  <c r="BQ165"/>
  <c r="BP165"/>
  <c r="BO165"/>
  <c r="BN165"/>
  <c r="BM165"/>
  <c r="BL165"/>
  <c r="BK165"/>
  <c r="BJ165"/>
  <c r="BI165"/>
  <c r="BH165"/>
  <c r="BG165"/>
  <c r="BF165"/>
  <c r="BE165"/>
  <c r="BD165"/>
  <c r="BC165"/>
  <c r="BB165"/>
  <c r="BA165"/>
  <c r="AZ165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A165"/>
  <c r="CJ164"/>
  <c r="CI164"/>
  <c r="CH164"/>
  <c r="CG164"/>
  <c r="CF164"/>
  <c r="CE164"/>
  <c r="CD164"/>
  <c r="CC164"/>
  <c r="CB164"/>
  <c r="CA164"/>
  <c r="BZ164"/>
  <c r="BY164"/>
  <c r="BX164"/>
  <c r="BW164"/>
  <c r="BV164"/>
  <c r="BU164"/>
  <c r="BT164"/>
  <c r="BS164"/>
  <c r="BR164"/>
  <c r="BQ164"/>
  <c r="BP164"/>
  <c r="BO164"/>
  <c r="BN164"/>
  <c r="BM164"/>
  <c r="BL164"/>
  <c r="BK164"/>
  <c r="BJ164"/>
  <c r="BI164"/>
  <c r="BH164"/>
  <c r="BG164"/>
  <c r="BF164"/>
  <c r="BE164"/>
  <c r="BD164"/>
  <c r="BC164"/>
  <c r="BB164"/>
  <c r="BA164"/>
  <c r="AZ164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A164"/>
  <c r="CJ163"/>
  <c r="CI163"/>
  <c r="CH163"/>
  <c r="CG163"/>
  <c r="CF163"/>
  <c r="CE163"/>
  <c r="CD163"/>
  <c r="CC163"/>
  <c r="CB163"/>
  <c r="CA163"/>
  <c r="BZ163"/>
  <c r="BY163"/>
  <c r="BX163"/>
  <c r="BW163"/>
  <c r="BV163"/>
  <c r="BU163"/>
  <c r="BT163"/>
  <c r="BS163"/>
  <c r="BR163"/>
  <c r="BQ163"/>
  <c r="BP163"/>
  <c r="BO163"/>
  <c r="BN163"/>
  <c r="BM163"/>
  <c r="BL163"/>
  <c r="BK163"/>
  <c r="BJ163"/>
  <c r="BI163"/>
  <c r="BH163"/>
  <c r="BG163"/>
  <c r="BF163"/>
  <c r="BE163"/>
  <c r="BD163"/>
  <c r="BC163"/>
  <c r="BB163"/>
  <c r="BA163"/>
  <c r="AZ163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A163"/>
  <c r="CJ162"/>
  <c r="CI162"/>
  <c r="CH162"/>
  <c r="CG162"/>
  <c r="CF162"/>
  <c r="CE162"/>
  <c r="CD162"/>
  <c r="CC162"/>
  <c r="CB162"/>
  <c r="CA162"/>
  <c r="BZ162"/>
  <c r="BY162"/>
  <c r="BX162"/>
  <c r="BW162"/>
  <c r="BV162"/>
  <c r="BU162"/>
  <c r="BT162"/>
  <c r="BS162"/>
  <c r="BR162"/>
  <c r="BQ162"/>
  <c r="BP162"/>
  <c r="BO162"/>
  <c r="BN162"/>
  <c r="BM162"/>
  <c r="BL162"/>
  <c r="BK162"/>
  <c r="BJ162"/>
  <c r="BI162"/>
  <c r="BH162"/>
  <c r="BG162"/>
  <c r="BF162"/>
  <c r="BE162"/>
  <c r="BD162"/>
  <c r="BC162"/>
  <c r="BB162"/>
  <c r="BA162"/>
  <c r="AZ162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A162"/>
  <c r="CJ161"/>
  <c r="CI161"/>
  <c r="CH161"/>
  <c r="CG161"/>
  <c r="CF161"/>
  <c r="CE161"/>
  <c r="CD161"/>
  <c r="CC161"/>
  <c r="CB161"/>
  <c r="CA161"/>
  <c r="BZ161"/>
  <c r="BY161"/>
  <c r="BX161"/>
  <c r="BW161"/>
  <c r="BV161"/>
  <c r="BU161"/>
  <c r="BT161"/>
  <c r="BS161"/>
  <c r="BR161"/>
  <c r="BQ161"/>
  <c r="BP161"/>
  <c r="BO161"/>
  <c r="BN161"/>
  <c r="BM161"/>
  <c r="BL161"/>
  <c r="BK161"/>
  <c r="BJ161"/>
  <c r="BI161"/>
  <c r="BH161"/>
  <c r="BG161"/>
  <c r="BF161"/>
  <c r="BE161"/>
  <c r="BD161"/>
  <c r="BC161"/>
  <c r="BB161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A161"/>
  <c r="CJ160"/>
  <c r="CI160"/>
  <c r="CH160"/>
  <c r="CG160"/>
  <c r="CF160"/>
  <c r="CE160"/>
  <c r="CD160"/>
  <c r="CC160"/>
  <c r="CB160"/>
  <c r="CA160"/>
  <c r="BZ160"/>
  <c r="BY160"/>
  <c r="BX160"/>
  <c r="BW160"/>
  <c r="BV160"/>
  <c r="BU160"/>
  <c r="BT160"/>
  <c r="BS160"/>
  <c r="BR160"/>
  <c r="BQ160"/>
  <c r="BP160"/>
  <c r="BO160"/>
  <c r="BN160"/>
  <c r="BM160"/>
  <c r="BL160"/>
  <c r="BK160"/>
  <c r="BJ160"/>
  <c r="BI160"/>
  <c r="BH160"/>
  <c r="BG160"/>
  <c r="BF160"/>
  <c r="BE160"/>
  <c r="BD160"/>
  <c r="BC160"/>
  <c r="BB160"/>
  <c r="BA160"/>
  <c r="AZ160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A160"/>
  <c r="CJ159"/>
  <c r="CI159"/>
  <c r="CH159"/>
  <c r="CG159"/>
  <c r="CF159"/>
  <c r="CE159"/>
  <c r="CD159"/>
  <c r="CC159"/>
  <c r="CB159"/>
  <c r="CA159"/>
  <c r="BZ159"/>
  <c r="BY159"/>
  <c r="BX159"/>
  <c r="BW159"/>
  <c r="BV159"/>
  <c r="BU159"/>
  <c r="BT159"/>
  <c r="BS159"/>
  <c r="BR159"/>
  <c r="BQ159"/>
  <c r="BP159"/>
  <c r="BO159"/>
  <c r="BN159"/>
  <c r="BM159"/>
  <c r="BL159"/>
  <c r="BK159"/>
  <c r="BJ159"/>
  <c r="BI159"/>
  <c r="BH159"/>
  <c r="BG159"/>
  <c r="BF159"/>
  <c r="BE159"/>
  <c r="BD159"/>
  <c r="BC159"/>
  <c r="BB159"/>
  <c r="BA159"/>
  <c r="AZ159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A159"/>
  <c r="CJ158"/>
  <c r="CI158"/>
  <c r="CH158"/>
  <c r="CG158"/>
  <c r="CF158"/>
  <c r="CE158"/>
  <c r="CD158"/>
  <c r="CC158"/>
  <c r="CB158"/>
  <c r="CA158"/>
  <c r="BZ158"/>
  <c r="BY158"/>
  <c r="BX158"/>
  <c r="BW158"/>
  <c r="BV158"/>
  <c r="BU158"/>
  <c r="BT158"/>
  <c r="BS158"/>
  <c r="BR158"/>
  <c r="BQ158"/>
  <c r="BP158"/>
  <c r="BO158"/>
  <c r="BN158"/>
  <c r="BM158"/>
  <c r="BL158"/>
  <c r="BK158"/>
  <c r="BJ158"/>
  <c r="BI158"/>
  <c r="BH158"/>
  <c r="BG158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158"/>
  <c r="CJ157"/>
  <c r="CI157"/>
  <c r="CH157"/>
  <c r="CG157"/>
  <c r="CF157"/>
  <c r="CE157"/>
  <c r="CD157"/>
  <c r="CC157"/>
  <c r="CB157"/>
  <c r="CA157"/>
  <c r="BZ157"/>
  <c r="BY157"/>
  <c r="BX157"/>
  <c r="BW157"/>
  <c r="BV157"/>
  <c r="BU157"/>
  <c r="BT157"/>
  <c r="BS157"/>
  <c r="BR157"/>
  <c r="BQ157"/>
  <c r="BP157"/>
  <c r="BO157"/>
  <c r="BN157"/>
  <c r="BM157"/>
  <c r="BL157"/>
  <c r="BK157"/>
  <c r="BJ157"/>
  <c r="BI157"/>
  <c r="BH157"/>
  <c r="BG157"/>
  <c r="BF157"/>
  <c r="BE157"/>
  <c r="BD157"/>
  <c r="BC157"/>
  <c r="BB157"/>
  <c r="BA157"/>
  <c r="AZ157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A157"/>
  <c r="CJ156"/>
  <c r="CI156"/>
  <c r="CH156"/>
  <c r="CG156"/>
  <c r="CF156"/>
  <c r="CE156"/>
  <c r="CD156"/>
  <c r="CC156"/>
  <c r="CB156"/>
  <c r="CA156"/>
  <c r="BZ156"/>
  <c r="BY156"/>
  <c r="BX156"/>
  <c r="BW156"/>
  <c r="BV156"/>
  <c r="BU156"/>
  <c r="BT156"/>
  <c r="BS156"/>
  <c r="BR156"/>
  <c r="BQ156"/>
  <c r="BP156"/>
  <c r="BO156"/>
  <c r="BN156"/>
  <c r="BM156"/>
  <c r="BL156"/>
  <c r="BK156"/>
  <c r="BJ156"/>
  <c r="BI156"/>
  <c r="BH156"/>
  <c r="BG156"/>
  <c r="BF156"/>
  <c r="BE156"/>
  <c r="BD156"/>
  <c r="BC156"/>
  <c r="BB156"/>
  <c r="BA156"/>
  <c r="AZ156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A156"/>
  <c r="CJ155"/>
  <c r="CI155"/>
  <c r="CH155"/>
  <c r="CG155"/>
  <c r="CF155"/>
  <c r="CE155"/>
  <c r="CD155"/>
  <c r="CC155"/>
  <c r="CB155"/>
  <c r="CA155"/>
  <c r="BZ155"/>
  <c r="BY155"/>
  <c r="BX155"/>
  <c r="BW155"/>
  <c r="BV155"/>
  <c r="BU155"/>
  <c r="BT155"/>
  <c r="BS155"/>
  <c r="BR155"/>
  <c r="BQ155"/>
  <c r="BP155"/>
  <c r="BO155"/>
  <c r="BN155"/>
  <c r="BM155"/>
  <c r="BL155"/>
  <c r="BK155"/>
  <c r="BJ155"/>
  <c r="BI155"/>
  <c r="BH155"/>
  <c r="BG155"/>
  <c r="BF155"/>
  <c r="BE155"/>
  <c r="BD155"/>
  <c r="BC155"/>
  <c r="BB155"/>
  <c r="BA155"/>
  <c r="AZ155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A155"/>
  <c r="CJ154"/>
  <c r="CI154"/>
  <c r="CH154"/>
  <c r="CG154"/>
  <c r="CF154"/>
  <c r="CE154"/>
  <c r="CD154"/>
  <c r="CC154"/>
  <c r="CB154"/>
  <c r="CA154"/>
  <c r="BZ154"/>
  <c r="BY154"/>
  <c r="BX154"/>
  <c r="BW154"/>
  <c r="BV154"/>
  <c r="BU154"/>
  <c r="BT154"/>
  <c r="BS154"/>
  <c r="BR154"/>
  <c r="BQ154"/>
  <c r="BP154"/>
  <c r="BO154"/>
  <c r="BN154"/>
  <c r="BM154"/>
  <c r="BL154"/>
  <c r="BK154"/>
  <c r="BJ154"/>
  <c r="BI154"/>
  <c r="BH154"/>
  <c r="BG154"/>
  <c r="BF154"/>
  <c r="BE154"/>
  <c r="BD154"/>
  <c r="BC154"/>
  <c r="BB154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A154"/>
  <c r="CJ153"/>
  <c r="CI153"/>
  <c r="CH153"/>
  <c r="CG153"/>
  <c r="CF153"/>
  <c r="CE153"/>
  <c r="CD153"/>
  <c r="CC153"/>
  <c r="CB153"/>
  <c r="CA153"/>
  <c r="BZ153"/>
  <c r="BY153"/>
  <c r="BX153"/>
  <c r="BW153"/>
  <c r="BV153"/>
  <c r="BU153"/>
  <c r="BT153"/>
  <c r="BS153"/>
  <c r="BR153"/>
  <c r="BQ153"/>
  <c r="BP153"/>
  <c r="BO153"/>
  <c r="BN153"/>
  <c r="BM153"/>
  <c r="BL153"/>
  <c r="BK153"/>
  <c r="BJ153"/>
  <c r="BI153"/>
  <c r="BH153"/>
  <c r="BG153"/>
  <c r="BF153"/>
  <c r="BE153"/>
  <c r="BD153"/>
  <c r="BC153"/>
  <c r="BB153"/>
  <c r="BA153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153"/>
  <c r="CJ152"/>
  <c r="CI152"/>
  <c r="CH152"/>
  <c r="CG152"/>
  <c r="CF152"/>
  <c r="CE152"/>
  <c r="CD152"/>
  <c r="CC152"/>
  <c r="CB152"/>
  <c r="CA152"/>
  <c r="BZ152"/>
  <c r="BY152"/>
  <c r="BX152"/>
  <c r="BW152"/>
  <c r="BV152"/>
  <c r="BU152"/>
  <c r="BT152"/>
  <c r="BS152"/>
  <c r="BR152"/>
  <c r="BQ152"/>
  <c r="BP152"/>
  <c r="BO152"/>
  <c r="BN152"/>
  <c r="BM152"/>
  <c r="BL152"/>
  <c r="BK152"/>
  <c r="BJ152"/>
  <c r="BI152"/>
  <c r="BH152"/>
  <c r="BG152"/>
  <c r="BF152"/>
  <c r="BE152"/>
  <c r="BD152"/>
  <c r="BC152"/>
  <c r="BB152"/>
  <c r="BA152"/>
  <c r="AZ152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A152"/>
  <c r="CJ151"/>
  <c r="CI151"/>
  <c r="CH151"/>
  <c r="CG151"/>
  <c r="CF151"/>
  <c r="CE151"/>
  <c r="CD151"/>
  <c r="CC151"/>
  <c r="CB151"/>
  <c r="CA151"/>
  <c r="BZ151"/>
  <c r="BY151"/>
  <c r="BX151"/>
  <c r="BW151"/>
  <c r="BV151"/>
  <c r="BU151"/>
  <c r="BT151"/>
  <c r="BS151"/>
  <c r="BR151"/>
  <c r="BQ151"/>
  <c r="BP151"/>
  <c r="BO151"/>
  <c r="BN151"/>
  <c r="BM151"/>
  <c r="BL151"/>
  <c r="BK151"/>
  <c r="BJ151"/>
  <c r="BI151"/>
  <c r="BH151"/>
  <c r="BG151"/>
  <c r="BF151"/>
  <c r="BE151"/>
  <c r="BD151"/>
  <c r="BC151"/>
  <c r="BB151"/>
  <c r="BA151"/>
  <c r="AZ151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A151"/>
  <c r="CJ150"/>
  <c r="CI150"/>
  <c r="CH150"/>
  <c r="CG150"/>
  <c r="CF150"/>
  <c r="CE150"/>
  <c r="CD150"/>
  <c r="CC150"/>
  <c r="CB150"/>
  <c r="CA150"/>
  <c r="BZ150"/>
  <c r="BY150"/>
  <c r="BX150"/>
  <c r="BW150"/>
  <c r="BV150"/>
  <c r="BU150"/>
  <c r="BT150"/>
  <c r="BS150"/>
  <c r="BR150"/>
  <c r="BQ150"/>
  <c r="BP150"/>
  <c r="BO150"/>
  <c r="BN150"/>
  <c r="BM150"/>
  <c r="BL150"/>
  <c r="BK150"/>
  <c r="BJ150"/>
  <c r="BI150"/>
  <c r="BH150"/>
  <c r="BG150"/>
  <c r="BF150"/>
  <c r="BE150"/>
  <c r="BD150"/>
  <c r="BC150"/>
  <c r="BB150"/>
  <c r="BA150"/>
  <c r="AZ150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A150"/>
  <c r="CJ149"/>
  <c r="CI149"/>
  <c r="CH149"/>
  <c r="CG149"/>
  <c r="CF149"/>
  <c r="CE149"/>
  <c r="CD149"/>
  <c r="CC149"/>
  <c r="CB149"/>
  <c r="CA149"/>
  <c r="BZ149"/>
  <c r="BY149"/>
  <c r="BX149"/>
  <c r="BW149"/>
  <c r="BV149"/>
  <c r="BU149"/>
  <c r="BT149"/>
  <c r="BS149"/>
  <c r="BR149"/>
  <c r="BQ149"/>
  <c r="BP149"/>
  <c r="BO149"/>
  <c r="BN149"/>
  <c r="BM149"/>
  <c r="BL149"/>
  <c r="BK149"/>
  <c r="BJ149"/>
  <c r="BI149"/>
  <c r="BH149"/>
  <c r="BG149"/>
  <c r="BF149"/>
  <c r="BE149"/>
  <c r="BD149"/>
  <c r="BC149"/>
  <c r="BB149"/>
  <c r="BA149"/>
  <c r="AZ149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A149"/>
  <c r="CJ148"/>
  <c r="CI148"/>
  <c r="CH148"/>
  <c r="CG148"/>
  <c r="CF148"/>
  <c r="CE148"/>
  <c r="CD148"/>
  <c r="CC148"/>
  <c r="CB148"/>
  <c r="CA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A148"/>
  <c r="CJ147"/>
  <c r="CI147"/>
  <c r="CH147"/>
  <c r="CG147"/>
  <c r="CF147"/>
  <c r="CE147"/>
  <c r="CD147"/>
  <c r="CC147"/>
  <c r="CB147"/>
  <c r="CA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A147"/>
  <c r="CJ146"/>
  <c r="CI146"/>
  <c r="CH146"/>
  <c r="CG146"/>
  <c r="CF146"/>
  <c r="CE146"/>
  <c r="CD146"/>
  <c r="CC146"/>
  <c r="CB146"/>
  <c r="CA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A146"/>
  <c r="CJ145"/>
  <c r="CI145"/>
  <c r="CH145"/>
  <c r="CG145"/>
  <c r="CF145"/>
  <c r="CE145"/>
  <c r="CD145"/>
  <c r="CC145"/>
  <c r="CB145"/>
  <c r="CA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A145"/>
  <c r="CJ144"/>
  <c r="CI144"/>
  <c r="CH144"/>
  <c r="CG144"/>
  <c r="CF144"/>
  <c r="CE144"/>
  <c r="CD144"/>
  <c r="CC144"/>
  <c r="CB144"/>
  <c r="CA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A144"/>
  <c r="CJ143"/>
  <c r="CI143"/>
  <c r="CH143"/>
  <c r="CG143"/>
  <c r="CF143"/>
  <c r="CE143"/>
  <c r="CD143"/>
  <c r="CC143"/>
  <c r="CB143"/>
  <c r="CA143"/>
  <c r="BZ143"/>
  <c r="BY143"/>
  <c r="BX143"/>
  <c r="BW143"/>
  <c r="BV143"/>
  <c r="BU143"/>
  <c r="BT143"/>
  <c r="BS143"/>
  <c r="BR143"/>
  <c r="BQ143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A143"/>
  <c r="CJ142"/>
  <c r="CI142"/>
  <c r="CH142"/>
  <c r="CG142"/>
  <c r="CF142"/>
  <c r="CE142"/>
  <c r="CD142"/>
  <c r="CC142"/>
  <c r="CB142"/>
  <c r="CA142"/>
  <c r="BZ142"/>
  <c r="BY142"/>
  <c r="BX142"/>
  <c r="BW142"/>
  <c r="BV142"/>
  <c r="BU142"/>
  <c r="BT142"/>
  <c r="BS142"/>
  <c r="BR142"/>
  <c r="BQ142"/>
  <c r="BP142"/>
  <c r="BO142"/>
  <c r="BN142"/>
  <c r="BM142"/>
  <c r="BL142"/>
  <c r="BK14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A142"/>
  <c r="CJ141"/>
  <c r="CI141"/>
  <c r="CH141"/>
  <c r="CG141"/>
  <c r="CF141"/>
  <c r="CE141"/>
  <c r="CD141"/>
  <c r="CC141"/>
  <c r="CB141"/>
  <c r="CA141"/>
  <c r="BZ141"/>
  <c r="BY141"/>
  <c r="BX141"/>
  <c r="BW141"/>
  <c r="BV141"/>
  <c r="BU141"/>
  <c r="BT141"/>
  <c r="BS141"/>
  <c r="BR141"/>
  <c r="BQ141"/>
  <c r="BP141"/>
  <c r="BO141"/>
  <c r="BN141"/>
  <c r="BM141"/>
  <c r="BL141"/>
  <c r="BK141"/>
  <c r="BJ141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A141"/>
  <c r="CJ140"/>
  <c r="CI140"/>
  <c r="CH140"/>
  <c r="CG140"/>
  <c r="CF140"/>
  <c r="CE140"/>
  <c r="CD140"/>
  <c r="CC140"/>
  <c r="CB140"/>
  <c r="CA140"/>
  <c r="BZ140"/>
  <c r="BY140"/>
  <c r="BX140"/>
  <c r="BW140"/>
  <c r="BV140"/>
  <c r="BU140"/>
  <c r="BT140"/>
  <c r="BS140"/>
  <c r="BR140"/>
  <c r="BQ140"/>
  <c r="BP140"/>
  <c r="BO140"/>
  <c r="BN140"/>
  <c r="BM140"/>
  <c r="BL140"/>
  <c r="BK140"/>
  <c r="BJ140"/>
  <c r="BI140"/>
  <c r="BH140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A140"/>
  <c r="CJ139"/>
  <c r="CI139"/>
  <c r="CH139"/>
  <c r="CG139"/>
  <c r="CF139"/>
  <c r="CE139"/>
  <c r="CD139"/>
  <c r="CC139"/>
  <c r="CB139"/>
  <c r="CA139"/>
  <c r="BZ139"/>
  <c r="BY139"/>
  <c r="BX139"/>
  <c r="BW139"/>
  <c r="BV139"/>
  <c r="BU139"/>
  <c r="BT139"/>
  <c r="BS139"/>
  <c r="BR139"/>
  <c r="BQ139"/>
  <c r="BP139"/>
  <c r="BO139"/>
  <c r="BN139"/>
  <c r="BM139"/>
  <c r="BL139"/>
  <c r="BK139"/>
  <c r="BJ139"/>
  <c r="BI139"/>
  <c r="BH139"/>
  <c r="BG139"/>
  <c r="BF139"/>
  <c r="BE139"/>
  <c r="BD139"/>
  <c r="BC139"/>
  <c r="BB139"/>
  <c r="BA139"/>
  <c r="AZ139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A139"/>
  <c r="CJ138"/>
  <c r="CI138"/>
  <c r="CH138"/>
  <c r="CG138"/>
  <c r="CF138"/>
  <c r="CE138"/>
  <c r="CD138"/>
  <c r="CC138"/>
  <c r="CB138"/>
  <c r="CA138"/>
  <c r="BZ138"/>
  <c r="BY138"/>
  <c r="BX138"/>
  <c r="BW138"/>
  <c r="BV138"/>
  <c r="BU138"/>
  <c r="BT138"/>
  <c r="BS138"/>
  <c r="BR138"/>
  <c r="BQ138"/>
  <c r="BP138"/>
  <c r="BO138"/>
  <c r="BN138"/>
  <c r="BM138"/>
  <c r="BL138"/>
  <c r="BK138"/>
  <c r="BJ138"/>
  <c r="BI138"/>
  <c r="BH138"/>
  <c r="BG138"/>
  <c r="BF138"/>
  <c r="BE138"/>
  <c r="BD138"/>
  <c r="BC138"/>
  <c r="BB138"/>
  <c r="BA13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A138"/>
  <c r="CJ137"/>
  <c r="CI137"/>
  <c r="CH137"/>
  <c r="CG137"/>
  <c r="CF137"/>
  <c r="CE137"/>
  <c r="CD137"/>
  <c r="CC137"/>
  <c r="CB137"/>
  <c r="CA137"/>
  <c r="BZ137"/>
  <c r="BY137"/>
  <c r="BX137"/>
  <c r="BW137"/>
  <c r="BV137"/>
  <c r="BU137"/>
  <c r="BT137"/>
  <c r="BS137"/>
  <c r="BR137"/>
  <c r="BQ137"/>
  <c r="BP137"/>
  <c r="BO137"/>
  <c r="BN137"/>
  <c r="BM137"/>
  <c r="BL137"/>
  <c r="BK137"/>
  <c r="BJ137"/>
  <c r="BI137"/>
  <c r="BH137"/>
  <c r="BG137"/>
  <c r="BF137"/>
  <c r="BE137"/>
  <c r="BD137"/>
  <c r="BC137"/>
  <c r="BB137"/>
  <c r="BA137"/>
  <c r="AZ137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137"/>
  <c r="CJ136"/>
  <c r="CI136"/>
  <c r="CH136"/>
  <c r="CG136"/>
  <c r="CF136"/>
  <c r="CE136"/>
  <c r="CD136"/>
  <c r="CC136"/>
  <c r="CB136"/>
  <c r="CA136"/>
  <c r="BZ136"/>
  <c r="BY136"/>
  <c r="BX136"/>
  <c r="BW136"/>
  <c r="BV136"/>
  <c r="BU136"/>
  <c r="BT136"/>
  <c r="BS136"/>
  <c r="BR136"/>
  <c r="BQ136"/>
  <c r="BP136"/>
  <c r="BO136"/>
  <c r="BN136"/>
  <c r="BM136"/>
  <c r="BL136"/>
  <c r="BK136"/>
  <c r="BJ136"/>
  <c r="BI136"/>
  <c r="BH136"/>
  <c r="BG136"/>
  <c r="BF136"/>
  <c r="BE136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A136"/>
  <c r="CJ135"/>
  <c r="CI135"/>
  <c r="CH135"/>
  <c r="CG135"/>
  <c r="CF135"/>
  <c r="CE135"/>
  <c r="CD135"/>
  <c r="CC135"/>
  <c r="CB135"/>
  <c r="CA135"/>
  <c r="BZ135"/>
  <c r="BY135"/>
  <c r="BX135"/>
  <c r="BW135"/>
  <c r="BV135"/>
  <c r="BU135"/>
  <c r="BT135"/>
  <c r="BS135"/>
  <c r="BR135"/>
  <c r="BQ135"/>
  <c r="BP135"/>
  <c r="BO135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A135"/>
  <c r="CJ134"/>
  <c r="CI134"/>
  <c r="CH134"/>
  <c r="CG134"/>
  <c r="CF134"/>
  <c r="CE134"/>
  <c r="CD134"/>
  <c r="CC134"/>
  <c r="CB134"/>
  <c r="CA134"/>
  <c r="BZ134"/>
  <c r="BY134"/>
  <c r="BX134"/>
  <c r="BW134"/>
  <c r="BV134"/>
  <c r="BU134"/>
  <c r="BT134"/>
  <c r="BS134"/>
  <c r="BR134"/>
  <c r="BQ134"/>
  <c r="BP134"/>
  <c r="BO134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A134"/>
  <c r="CJ133"/>
  <c r="CI133"/>
  <c r="CH133"/>
  <c r="CG133"/>
  <c r="CF133"/>
  <c r="CE133"/>
  <c r="CD133"/>
  <c r="CC133"/>
  <c r="CB133"/>
  <c r="CA133"/>
  <c r="BZ133"/>
  <c r="BY133"/>
  <c r="BX133"/>
  <c r="BW133"/>
  <c r="BV133"/>
  <c r="BU133"/>
  <c r="BT133"/>
  <c r="BS133"/>
  <c r="BR133"/>
  <c r="BQ133"/>
  <c r="BP133"/>
  <c r="BO133"/>
  <c r="BN133"/>
  <c r="BM133"/>
  <c r="BL133"/>
  <c r="BK133"/>
  <c r="BJ133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A133"/>
  <c r="CJ132"/>
  <c r="CI132"/>
  <c r="CH132"/>
  <c r="CG132"/>
  <c r="CF132"/>
  <c r="CE132"/>
  <c r="CD132"/>
  <c r="CC132"/>
  <c r="CB132"/>
  <c r="CA132"/>
  <c r="BZ132"/>
  <c r="BY132"/>
  <c r="BX132"/>
  <c r="BW132"/>
  <c r="BV132"/>
  <c r="BU132"/>
  <c r="BT132"/>
  <c r="BS132"/>
  <c r="BR132"/>
  <c r="BQ132"/>
  <c r="BP132"/>
  <c r="BO132"/>
  <c r="BN132"/>
  <c r="BM132"/>
  <c r="BL132"/>
  <c r="BK132"/>
  <c r="BJ132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A132"/>
  <c r="CJ131"/>
  <c r="CI131"/>
  <c r="CH131"/>
  <c r="CG131"/>
  <c r="CF131"/>
  <c r="CE131"/>
  <c r="CD131"/>
  <c r="CC131"/>
  <c r="CB131"/>
  <c r="CA131"/>
  <c r="BZ131"/>
  <c r="BY131"/>
  <c r="BX131"/>
  <c r="BW131"/>
  <c r="BV131"/>
  <c r="BU131"/>
  <c r="BT131"/>
  <c r="BS131"/>
  <c r="BR131"/>
  <c r="BQ131"/>
  <c r="BP131"/>
  <c r="BO131"/>
  <c r="BN131"/>
  <c r="BM131"/>
  <c r="BL131"/>
  <c r="BK131"/>
  <c r="BJ131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A131"/>
  <c r="CJ130"/>
  <c r="CI130"/>
  <c r="CH130"/>
  <c r="CG130"/>
  <c r="CF130"/>
  <c r="CE130"/>
  <c r="CD130"/>
  <c r="CC130"/>
  <c r="CB130"/>
  <c r="CA130"/>
  <c r="BZ130"/>
  <c r="BY130"/>
  <c r="BX130"/>
  <c r="BW130"/>
  <c r="BV130"/>
  <c r="BU130"/>
  <c r="BT130"/>
  <c r="BS130"/>
  <c r="BR130"/>
  <c r="BQ130"/>
  <c r="BP130"/>
  <c r="BO130"/>
  <c r="BN130"/>
  <c r="BM130"/>
  <c r="BL130"/>
  <c r="BK130"/>
  <c r="BJ130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A130"/>
  <c r="CJ129"/>
  <c r="CI129"/>
  <c r="CH129"/>
  <c r="CG129"/>
  <c r="CF129"/>
  <c r="CE129"/>
  <c r="CD129"/>
  <c r="CC129"/>
  <c r="CB129"/>
  <c r="CA129"/>
  <c r="BZ129"/>
  <c r="BY129"/>
  <c r="BX129"/>
  <c r="BW129"/>
  <c r="BV129"/>
  <c r="BU129"/>
  <c r="BT129"/>
  <c r="BS129"/>
  <c r="BR129"/>
  <c r="BQ129"/>
  <c r="BP129"/>
  <c r="BO129"/>
  <c r="BN129"/>
  <c r="BM129"/>
  <c r="BL129"/>
  <c r="BK129"/>
  <c r="BJ129"/>
  <c r="BI129"/>
  <c r="BH129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129"/>
  <c r="CJ128"/>
  <c r="CI128"/>
  <c r="CH128"/>
  <c r="CG128"/>
  <c r="CF128"/>
  <c r="CE128"/>
  <c r="CD128"/>
  <c r="CC128"/>
  <c r="CB128"/>
  <c r="CA128"/>
  <c r="BZ128"/>
  <c r="BY128"/>
  <c r="BX128"/>
  <c r="BW128"/>
  <c r="BV128"/>
  <c r="BU128"/>
  <c r="BT128"/>
  <c r="BS128"/>
  <c r="BR128"/>
  <c r="BQ128"/>
  <c r="BP128"/>
  <c r="BO128"/>
  <c r="BN128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A128"/>
  <c r="CJ127"/>
  <c r="CI127"/>
  <c r="CH127"/>
  <c r="CG127"/>
  <c r="CF127"/>
  <c r="CE127"/>
  <c r="CD127"/>
  <c r="CC127"/>
  <c r="CB127"/>
  <c r="CA127"/>
  <c r="BZ127"/>
  <c r="BY127"/>
  <c r="BX127"/>
  <c r="BW127"/>
  <c r="BV127"/>
  <c r="BU127"/>
  <c r="BT127"/>
  <c r="BS127"/>
  <c r="BR127"/>
  <c r="BQ127"/>
  <c r="BP127"/>
  <c r="BO127"/>
  <c r="BN127"/>
  <c r="BM127"/>
  <c r="BL127"/>
  <c r="BK127"/>
  <c r="BJ127"/>
  <c r="BI127"/>
  <c r="BH127"/>
  <c r="BG127"/>
  <c r="BF127"/>
  <c r="BE127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127"/>
  <c r="CJ126"/>
  <c r="CI126"/>
  <c r="CH126"/>
  <c r="CG126"/>
  <c r="CF126"/>
  <c r="CE126"/>
  <c r="CD126"/>
  <c r="CC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A126"/>
  <c r="CJ125"/>
  <c r="CI125"/>
  <c r="CH125"/>
  <c r="CG125"/>
  <c r="CF125"/>
  <c r="CE125"/>
  <c r="CD125"/>
  <c r="CC125"/>
  <c r="CB125"/>
  <c r="CA125"/>
  <c r="BZ125"/>
  <c r="BY125"/>
  <c r="BX125"/>
  <c r="BW125"/>
  <c r="BV125"/>
  <c r="BU125"/>
  <c r="BT125"/>
  <c r="BS125"/>
  <c r="BR125"/>
  <c r="BQ125"/>
  <c r="BP125"/>
  <c r="BO125"/>
  <c r="BN125"/>
  <c r="BM125"/>
  <c r="BL125"/>
  <c r="BK125"/>
  <c r="BJ125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A125"/>
  <c r="CJ124"/>
  <c r="CI124"/>
  <c r="CH124"/>
  <c r="CG124"/>
  <c r="CF124"/>
  <c r="CE124"/>
  <c r="CD124"/>
  <c r="CC124"/>
  <c r="CB124"/>
  <c r="CA124"/>
  <c r="BZ124"/>
  <c r="BY124"/>
  <c r="BX124"/>
  <c r="BW124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A124"/>
  <c r="CJ123"/>
  <c r="CI123"/>
  <c r="CH123"/>
  <c r="CG123"/>
  <c r="CF123"/>
  <c r="CE123"/>
  <c r="CD123"/>
  <c r="CC123"/>
  <c r="CB123"/>
  <c r="CA123"/>
  <c r="BZ123"/>
  <c r="BY123"/>
  <c r="BX123"/>
  <c r="BW123"/>
  <c r="BV123"/>
  <c r="BU123"/>
  <c r="BT123"/>
  <c r="BS123"/>
  <c r="BR123"/>
  <c r="BQ123"/>
  <c r="BP123"/>
  <c r="BO123"/>
  <c r="BN123"/>
  <c r="BM123"/>
  <c r="BL123"/>
  <c r="BK123"/>
  <c r="BJ123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A123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A122"/>
  <c r="CJ121"/>
  <c r="CI121"/>
  <c r="CH121"/>
  <c r="CG121"/>
  <c r="CF121"/>
  <c r="CE121"/>
  <c r="CD121"/>
  <c r="CC121"/>
  <c r="CB121"/>
  <c r="CA121"/>
  <c r="BZ121"/>
  <c r="BY121"/>
  <c r="BX121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A121"/>
  <c r="CJ120"/>
  <c r="CI120"/>
  <c r="CH120"/>
  <c r="CG120"/>
  <c r="CF120"/>
  <c r="CE120"/>
  <c r="CD120"/>
  <c r="CC120"/>
  <c r="CB120"/>
  <c r="CA120"/>
  <c r="BZ120"/>
  <c r="BY120"/>
  <c r="BX120"/>
  <c r="BW120"/>
  <c r="BV120"/>
  <c r="BU120"/>
  <c r="BT120"/>
  <c r="BS120"/>
  <c r="BR120"/>
  <c r="BQ120"/>
  <c r="BP120"/>
  <c r="BO120"/>
  <c r="BN120"/>
  <c r="BM120"/>
  <c r="BL120"/>
  <c r="BK120"/>
  <c r="BJ120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A120"/>
  <c r="CJ119"/>
  <c r="CI119"/>
  <c r="CH119"/>
  <c r="CG119"/>
  <c r="CF119"/>
  <c r="CE119"/>
  <c r="CD119"/>
  <c r="CC119"/>
  <c r="CB119"/>
  <c r="CA119"/>
  <c r="BZ119"/>
  <c r="BY119"/>
  <c r="BX119"/>
  <c r="BW119"/>
  <c r="BV119"/>
  <c r="BU119"/>
  <c r="BT119"/>
  <c r="BS119"/>
  <c r="BR119"/>
  <c r="BQ119"/>
  <c r="BP119"/>
  <c r="BO119"/>
  <c r="BN119"/>
  <c r="BM119"/>
  <c r="BL119"/>
  <c r="BK119"/>
  <c r="BJ119"/>
  <c r="BI119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119"/>
  <c r="CJ118"/>
  <c r="CI118"/>
  <c r="CH118"/>
  <c r="CG118"/>
  <c r="CF118"/>
  <c r="CE118"/>
  <c r="CD118"/>
  <c r="CC118"/>
  <c r="CB118"/>
  <c r="CA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118"/>
  <c r="CJ117"/>
  <c r="CI117"/>
  <c r="CH117"/>
  <c r="CG117"/>
  <c r="CF117"/>
  <c r="CE117"/>
  <c r="CD117"/>
  <c r="CC117"/>
  <c r="CB117"/>
  <c r="CA117"/>
  <c r="BZ117"/>
  <c r="BY117"/>
  <c r="BX117"/>
  <c r="BW117"/>
  <c r="BV117"/>
  <c r="BU117"/>
  <c r="BT117"/>
  <c r="BS117"/>
  <c r="BR117"/>
  <c r="BQ117"/>
  <c r="BP117"/>
  <c r="BO117"/>
  <c r="BN117"/>
  <c r="BM117"/>
  <c r="BL117"/>
  <c r="BK117"/>
  <c r="BJ117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A117"/>
  <c r="CJ116"/>
  <c r="CI116"/>
  <c r="CH116"/>
  <c r="CG116"/>
  <c r="CF116"/>
  <c r="CE116"/>
  <c r="CD116"/>
  <c r="CC116"/>
  <c r="CB116"/>
  <c r="CA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A116"/>
  <c r="CJ115"/>
  <c r="CI115"/>
  <c r="CH115"/>
  <c r="CG115"/>
  <c r="CF115"/>
  <c r="CE115"/>
  <c r="CD115"/>
  <c r="CC115"/>
  <c r="CB115"/>
  <c r="CA115"/>
  <c r="BZ115"/>
  <c r="BY115"/>
  <c r="BX115"/>
  <c r="BW115"/>
  <c r="BV115"/>
  <c r="BU115"/>
  <c r="BT115"/>
  <c r="BS115"/>
  <c r="BR115"/>
  <c r="BQ115"/>
  <c r="BP115"/>
  <c r="BO115"/>
  <c r="BN115"/>
  <c r="BM115"/>
  <c r="BL115"/>
  <c r="BK115"/>
  <c r="BJ115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A115"/>
  <c r="CJ114"/>
  <c r="CI114"/>
  <c r="CH114"/>
  <c r="CG114"/>
  <c r="CF114"/>
  <c r="CE114"/>
  <c r="CD114"/>
  <c r="CC114"/>
  <c r="CB114"/>
  <c r="CA114"/>
  <c r="BZ114"/>
  <c r="BY114"/>
  <c r="BX114"/>
  <c r="BW114"/>
  <c r="BV114"/>
  <c r="BU114"/>
  <c r="BT114"/>
  <c r="BS114"/>
  <c r="BR114"/>
  <c r="BQ114"/>
  <c r="BP114"/>
  <c r="BO114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A114"/>
  <c r="CJ113"/>
  <c r="CI113"/>
  <c r="CH113"/>
  <c r="CG113"/>
  <c r="CF113"/>
  <c r="CE113"/>
  <c r="CD113"/>
  <c r="CC113"/>
  <c r="CB113"/>
  <c r="CA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13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A112"/>
  <c r="CJ111"/>
  <c r="CI111"/>
  <c r="CH111"/>
  <c r="CG111"/>
  <c r="CF111"/>
  <c r="CE111"/>
  <c r="CD111"/>
  <c r="CC111"/>
  <c r="CB111"/>
  <c r="CA111"/>
  <c r="BZ111"/>
  <c r="BY111"/>
  <c r="BX111"/>
  <c r="BW111"/>
  <c r="BV111"/>
  <c r="BU111"/>
  <c r="BT111"/>
  <c r="BS111"/>
  <c r="BR111"/>
  <c r="BQ111"/>
  <c r="BP111"/>
  <c r="BO111"/>
  <c r="BN111"/>
  <c r="BM111"/>
  <c r="BL111"/>
  <c r="BK111"/>
  <c r="BJ111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A111"/>
  <c r="CJ110"/>
  <c r="CI110"/>
  <c r="CH110"/>
  <c r="CG110"/>
  <c r="CF110"/>
  <c r="CE110"/>
  <c r="CD110"/>
  <c r="CC110"/>
  <c r="CB110"/>
  <c r="CA110"/>
  <c r="BZ110"/>
  <c r="BY110"/>
  <c r="BX110"/>
  <c r="BW110"/>
  <c r="BV110"/>
  <c r="BU110"/>
  <c r="BT110"/>
  <c r="BS110"/>
  <c r="BR110"/>
  <c r="BQ110"/>
  <c r="BP110"/>
  <c r="BO110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A110"/>
  <c r="CJ109"/>
  <c r="CI109"/>
  <c r="CH109"/>
  <c r="CG109"/>
  <c r="CF109"/>
  <c r="CE109"/>
  <c r="CD109"/>
  <c r="CC109"/>
  <c r="CB109"/>
  <c r="CA109"/>
  <c r="BZ109"/>
  <c r="BY109"/>
  <c r="BX109"/>
  <c r="BW109"/>
  <c r="BV109"/>
  <c r="BU109"/>
  <c r="BT109"/>
  <c r="BS109"/>
  <c r="BR109"/>
  <c r="BQ109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A109"/>
  <c r="CJ108"/>
  <c r="CI108"/>
  <c r="CH108"/>
  <c r="CG108"/>
  <c r="CF108"/>
  <c r="CE108"/>
  <c r="CD108"/>
  <c r="CC108"/>
  <c r="CB108"/>
  <c r="CA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A108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A107"/>
  <c r="CJ106"/>
  <c r="CI106"/>
  <c r="CH106"/>
  <c r="CG106"/>
  <c r="CF106"/>
  <c r="CE106"/>
  <c r="CD106"/>
  <c r="CC106"/>
  <c r="CB106"/>
  <c r="CA106"/>
  <c r="BZ106"/>
  <c r="BY106"/>
  <c r="BX106"/>
  <c r="BW106"/>
  <c r="BV106"/>
  <c r="BU106"/>
  <c r="BT106"/>
  <c r="BS106"/>
  <c r="BR106"/>
  <c r="BQ106"/>
  <c r="BP106"/>
  <c r="BO106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A106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A105"/>
  <c r="CJ104"/>
  <c r="CI104"/>
  <c r="CH104"/>
  <c r="CG104"/>
  <c r="CF104"/>
  <c r="CE104"/>
  <c r="CD104"/>
  <c r="CC104"/>
  <c r="CB104"/>
  <c r="CA104"/>
  <c r="BZ104"/>
  <c r="BY104"/>
  <c r="BX104"/>
  <c r="BW104"/>
  <c r="BV104"/>
  <c r="BU104"/>
  <c r="BT104"/>
  <c r="BS104"/>
  <c r="BR104"/>
  <c r="BQ104"/>
  <c r="BP104"/>
  <c r="BO104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A104"/>
  <c r="CJ103"/>
  <c r="CI103"/>
  <c r="CH103"/>
  <c r="CG103"/>
  <c r="CF103"/>
  <c r="CE103"/>
  <c r="CD103"/>
  <c r="CC103"/>
  <c r="CB103"/>
  <c r="CA103"/>
  <c r="BZ103"/>
  <c r="BY103"/>
  <c r="BX103"/>
  <c r="BW103"/>
  <c r="BV103"/>
  <c r="BU103"/>
  <c r="BT103"/>
  <c r="BS103"/>
  <c r="BR103"/>
  <c r="BQ103"/>
  <c r="BP103"/>
  <c r="BO103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103"/>
  <c r="CJ102"/>
  <c r="CI102"/>
  <c r="CH102"/>
  <c r="CG102"/>
  <c r="CF102"/>
  <c r="CE102"/>
  <c r="CD102"/>
  <c r="CC102"/>
  <c r="CB102"/>
  <c r="CA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102"/>
  <c r="CJ101"/>
  <c r="CI101"/>
  <c r="CH101"/>
  <c r="CG101"/>
  <c r="CF101"/>
  <c r="CE101"/>
  <c r="CD101"/>
  <c r="CC101"/>
  <c r="CB101"/>
  <c r="CA101"/>
  <c r="BZ101"/>
  <c r="BY101"/>
  <c r="BX101"/>
  <c r="BW101"/>
  <c r="BV101"/>
  <c r="BU101"/>
  <c r="BT101"/>
  <c r="BS101"/>
  <c r="BR101"/>
  <c r="BQ101"/>
  <c r="BP101"/>
  <c r="BO101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101"/>
  <c r="CJ100"/>
  <c r="CI100"/>
  <c r="CH100"/>
  <c r="CG100"/>
  <c r="CF100"/>
  <c r="CE100"/>
  <c r="CD100"/>
  <c r="CC100"/>
  <c r="CB100"/>
  <c r="CA100"/>
  <c r="BZ100"/>
  <c r="BY100"/>
  <c r="BX100"/>
  <c r="BW100"/>
  <c r="BV100"/>
  <c r="BU100"/>
  <c r="BT100"/>
  <c r="BS100"/>
  <c r="BR100"/>
  <c r="BQ100"/>
  <c r="BP100"/>
  <c r="BO100"/>
  <c r="BN100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CJ99"/>
  <c r="CI99"/>
  <c r="CH99"/>
  <c r="CG99"/>
  <c r="CF99"/>
  <c r="CE99"/>
  <c r="CD99"/>
  <c r="CC99"/>
  <c r="CB99"/>
  <c r="CA99"/>
  <c r="BZ99"/>
  <c r="BY99"/>
  <c r="BX99"/>
  <c r="BW99"/>
  <c r="BV99"/>
  <c r="BU99"/>
  <c r="BT99"/>
  <c r="BS99"/>
  <c r="BR99"/>
  <c r="BQ99"/>
  <c r="BP99"/>
  <c r="BO99"/>
  <c r="BN99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A99"/>
  <c r="CJ98"/>
  <c r="CI98"/>
  <c r="CH98"/>
  <c r="CG98"/>
  <c r="CF98"/>
  <c r="CE98"/>
  <c r="CD98"/>
  <c r="CC98"/>
  <c r="CB98"/>
  <c r="CA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98"/>
  <c r="CJ97"/>
  <c r="CI97"/>
  <c r="CH97"/>
  <c r="CG97"/>
  <c r="CF97"/>
  <c r="CE97"/>
  <c r="CD97"/>
  <c r="CC97"/>
  <c r="CB97"/>
  <c r="CA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A97"/>
  <c r="CJ96"/>
  <c r="CI96"/>
  <c r="CH96"/>
  <c r="CG96"/>
  <c r="CF96"/>
  <c r="CE96"/>
  <c r="CD96"/>
  <c r="CC96"/>
  <c r="CB96"/>
  <c r="CA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96"/>
  <c r="CJ95"/>
  <c r="CI95"/>
  <c r="CH95"/>
  <c r="CG95"/>
  <c r="CF95"/>
  <c r="CE95"/>
  <c r="CD95"/>
  <c r="CC95"/>
  <c r="CB95"/>
  <c r="CA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95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A94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93"/>
  <c r="CJ92"/>
  <c r="CI92"/>
  <c r="CH92"/>
  <c r="CG92"/>
  <c r="CF92"/>
  <c r="CE92"/>
  <c r="CD92"/>
  <c r="CC92"/>
  <c r="CB92"/>
  <c r="CA92"/>
  <c r="BZ92"/>
  <c r="BY92"/>
  <c r="BX92"/>
  <c r="BW92"/>
  <c r="BV92"/>
  <c r="BU92"/>
  <c r="BT92"/>
  <c r="BS92"/>
  <c r="BR92"/>
  <c r="BQ92"/>
  <c r="BP92"/>
  <c r="BO92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92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91"/>
  <c r="CJ90"/>
  <c r="CI90"/>
  <c r="CH90"/>
  <c r="CG90"/>
  <c r="CF90"/>
  <c r="CE90"/>
  <c r="CD90"/>
  <c r="CC90"/>
  <c r="CB90"/>
  <c r="CA90"/>
  <c r="BZ90"/>
  <c r="BY90"/>
  <c r="BX90"/>
  <c r="BW90"/>
  <c r="BV90"/>
  <c r="BU90"/>
  <c r="BT90"/>
  <c r="BS90"/>
  <c r="BR90"/>
  <c r="BQ90"/>
  <c r="BP90"/>
  <c r="BO90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90"/>
  <c r="CJ89"/>
  <c r="CI89"/>
  <c r="CH89"/>
  <c r="CG89"/>
  <c r="CF89"/>
  <c r="CE89"/>
  <c r="CD89"/>
  <c r="CC89"/>
  <c r="CB89"/>
  <c r="CA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89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88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87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86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85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A84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83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82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A81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80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79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A78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77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A76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75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74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73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72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A71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70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69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68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67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66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65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64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63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62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61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60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59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58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57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56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55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54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47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A8"/>
</calcChain>
</file>

<file path=xl/sharedStrings.xml><?xml version="1.0" encoding="utf-8"?>
<sst xmlns="http://schemas.openxmlformats.org/spreadsheetml/2006/main" count="129" uniqueCount="40">
  <si>
    <t>№ п/п</t>
  </si>
  <si>
    <t>Адрес</t>
  </si>
  <si>
    <t>Виды работ по капитальному ремонту общего имущества МКД, которые финансируются за счет средств фонда капитального ремонта (по установленному минимальному размеру)</t>
  </si>
  <si>
    <t>Год ввода в эксплуатацию</t>
  </si>
  <si>
    <t>Ремонт внутридомовых инженерных систем</t>
  </si>
  <si>
    <t>Ремонт сетей электроснабжения</t>
  </si>
  <si>
    <t>Год последнего ремонта</t>
  </si>
  <si>
    <t>Износ, %</t>
  </si>
  <si>
    <t>Планируемый год ремонта</t>
  </si>
  <si>
    <t>Прибор учета</t>
  </si>
  <si>
    <t>Установлен</t>
  </si>
  <si>
    <t>Ремонт сетей теплоснабжения</t>
  </si>
  <si>
    <t>Узел управления</t>
  </si>
  <si>
    <t>Ремонт сетей газоснабжения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</si>
  <si>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</si>
  <si>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</si>
  <si>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</si>
  <si>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крыши</t>
  </si>
  <si>
    <t>Ремонт или замена лифтового оборудования</t>
  </si>
  <si>
    <t>Наличие</t>
  </si>
  <si>
    <t>Ремонт подвальных помещений</t>
  </si>
  <si>
    <t>Утепление и ремонт фасадов</t>
  </si>
  <si>
    <t>Ремонт фундаментов</t>
  </si>
  <si>
    <t>Всего процент износа многоквартирного дома на основании данных обследования технического состояния МКД</t>
  </si>
  <si>
    <t>Планируемый год проведения комплексного ремонта</t>
  </si>
  <si>
    <t>В том числе, введены сведения по капитальному ремонту:</t>
  </si>
  <si>
    <t>Ввод сведений по капитальному ремонту</t>
  </si>
  <si>
    <t>Полностью</t>
  </si>
  <si>
    <t>Частично</t>
  </si>
  <si>
    <t>Не заполнено</t>
  </si>
  <si>
    <t>Район/Городской округ</t>
  </si>
  <si>
    <t>Всего домов</t>
  </si>
  <si>
    <t>Процент заполнения</t>
  </si>
  <si>
    <t>ИТОГО:</t>
  </si>
  <si>
    <t>МО - прибор учета или узел управления находится на балансе муниципального образования или предприятия</t>
  </si>
  <si>
    <t>Всего домов: 647</t>
  </si>
  <si>
    <t xml:space="preserve">   - полностью по 647 домам</t>
  </si>
  <si>
    <t xml:space="preserve">   - частично по 0 домам</t>
  </si>
  <si>
    <t xml:space="preserve">   - не заполнено по 0 домам</t>
  </si>
  <si>
    <t>Грязовецкий р-н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</si>
</sst>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charset val="204"/>
    </font>
    <font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9"/>
      <color theme="1"/>
      <name val="Arial"/>
      <charset val="204"/>
    </font>
    <font>
      <sz val="10"/>
      <color theme="1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0" fontId="1" fillId="0" borderId="7" xfId="0" applyFont="1" applyBorder="1" applyAlignment="1"/>
    <xf numFmtId="0" fontId="3" fillId="6" borderId="6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62"/>
  <sheetViews>
    <sheetView tabSelected="1" workbookViewId="0"/>
  </sheetViews>
  <sheetFormatPr defaultColWidth="9.140625" defaultRowHeight="12.75" customHeight="1"/>
  <cols>
    <col min="1" max="1" width="7.140625" customWidth="1"/>
    <col min="2" max="2" width="30.85546875" customWidth="1"/>
    <col min="3" max="3" width="6.7109375" customWidth="1"/>
    <col min="4" max="86" width="4.5703125" customWidth="1"/>
    <col min="87" max="88" width="9.140625" customWidth="1"/>
  </cols>
  <sheetData>
    <row r="1" spans="1:88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14.25" customHeight="1">
      <c r="A2" s="25" t="s">
        <v>0</v>
      </c>
      <c r="B2" s="25" t="s">
        <v>1</v>
      </c>
      <c r="C2" s="26" t="s">
        <v>3</v>
      </c>
      <c r="D2" s="27" t="s">
        <v>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8" t="s">
        <v>23</v>
      </c>
      <c r="CJ2" s="28" t="s">
        <v>24</v>
      </c>
    </row>
    <row r="3" spans="1:88" ht="22.5" customHeight="1">
      <c r="A3" s="25"/>
      <c r="B3" s="25"/>
      <c r="C3" s="26"/>
      <c r="D3" s="29" t="s">
        <v>4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 t="s">
        <v>17</v>
      </c>
      <c r="BS3" s="29"/>
      <c r="BT3" s="29"/>
      <c r="BU3" s="30" t="s">
        <v>18</v>
      </c>
      <c r="BV3" s="30"/>
      <c r="BW3" s="30"/>
      <c r="BX3" s="30"/>
      <c r="BY3" s="31" t="s">
        <v>20</v>
      </c>
      <c r="BZ3" s="31"/>
      <c r="CA3" s="31"/>
      <c r="CB3" s="32"/>
      <c r="CC3" s="30" t="s">
        <v>21</v>
      </c>
      <c r="CD3" s="30"/>
      <c r="CE3" s="30"/>
      <c r="CF3" s="30" t="s">
        <v>22</v>
      </c>
      <c r="CG3" s="30"/>
      <c r="CH3" s="35"/>
      <c r="CI3" s="28"/>
      <c r="CJ3" s="28"/>
    </row>
    <row r="4" spans="1:88" ht="14.25" customHeight="1">
      <c r="A4" s="25"/>
      <c r="B4" s="25"/>
      <c r="C4" s="26"/>
      <c r="D4" s="36" t="s">
        <v>5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11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 t="s">
        <v>13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 t="s">
        <v>14</v>
      </c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 t="s">
        <v>15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 t="s">
        <v>16</v>
      </c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29"/>
      <c r="BS4" s="29"/>
      <c r="BT4" s="29"/>
      <c r="BU4" s="30"/>
      <c r="BV4" s="30"/>
      <c r="BW4" s="30"/>
      <c r="BX4" s="30"/>
      <c r="BY4" s="33"/>
      <c r="BZ4" s="34"/>
      <c r="CA4" s="34"/>
      <c r="CB4" s="34"/>
      <c r="CC4" s="30"/>
      <c r="CD4" s="30"/>
      <c r="CE4" s="30"/>
      <c r="CF4" s="30"/>
      <c r="CG4" s="35"/>
      <c r="CH4" s="35"/>
      <c r="CI4" s="28"/>
      <c r="CJ4" s="28"/>
    </row>
    <row r="5" spans="1:88" ht="14.25" customHeight="1">
      <c r="A5" s="25"/>
      <c r="B5" s="25"/>
      <c r="C5" s="26"/>
      <c r="D5" s="37" t="s">
        <v>6</v>
      </c>
      <c r="E5" s="37" t="s">
        <v>7</v>
      </c>
      <c r="F5" s="37" t="s">
        <v>8</v>
      </c>
      <c r="G5" s="38" t="s">
        <v>9</v>
      </c>
      <c r="H5" s="39"/>
      <c r="I5" s="39"/>
      <c r="J5" s="39"/>
      <c r="K5" s="40" t="s">
        <v>12</v>
      </c>
      <c r="L5" s="40"/>
      <c r="M5" s="40"/>
      <c r="N5" s="40"/>
      <c r="O5" s="37" t="s">
        <v>6</v>
      </c>
      <c r="P5" s="37" t="s">
        <v>7</v>
      </c>
      <c r="Q5" s="37" t="s">
        <v>8</v>
      </c>
      <c r="R5" s="38" t="s">
        <v>9</v>
      </c>
      <c r="S5" s="39"/>
      <c r="T5" s="39"/>
      <c r="U5" s="39"/>
      <c r="V5" s="40" t="s">
        <v>12</v>
      </c>
      <c r="W5" s="40"/>
      <c r="X5" s="40"/>
      <c r="Y5" s="40"/>
      <c r="Z5" s="37" t="s">
        <v>6</v>
      </c>
      <c r="AA5" s="37" t="s">
        <v>7</v>
      </c>
      <c r="AB5" s="37" t="s">
        <v>8</v>
      </c>
      <c r="AC5" s="38" t="s">
        <v>9</v>
      </c>
      <c r="AD5" s="39"/>
      <c r="AE5" s="39"/>
      <c r="AF5" s="39"/>
      <c r="AG5" s="40" t="s">
        <v>12</v>
      </c>
      <c r="AH5" s="40"/>
      <c r="AI5" s="40"/>
      <c r="AJ5" s="40"/>
      <c r="AK5" s="37" t="s">
        <v>6</v>
      </c>
      <c r="AL5" s="37" t="s">
        <v>7</v>
      </c>
      <c r="AM5" s="37" t="s">
        <v>8</v>
      </c>
      <c r="AN5" s="38" t="s">
        <v>9</v>
      </c>
      <c r="AO5" s="39"/>
      <c r="AP5" s="39"/>
      <c r="AQ5" s="39"/>
      <c r="AR5" s="40" t="s">
        <v>12</v>
      </c>
      <c r="AS5" s="40"/>
      <c r="AT5" s="40"/>
      <c r="AU5" s="40"/>
      <c r="AV5" s="37" t="s">
        <v>6</v>
      </c>
      <c r="AW5" s="37" t="s">
        <v>7</v>
      </c>
      <c r="AX5" s="37" t="s">
        <v>8</v>
      </c>
      <c r="AY5" s="38" t="s">
        <v>9</v>
      </c>
      <c r="AZ5" s="39"/>
      <c r="BA5" s="39"/>
      <c r="BB5" s="39"/>
      <c r="BC5" s="40" t="s">
        <v>12</v>
      </c>
      <c r="BD5" s="40"/>
      <c r="BE5" s="40"/>
      <c r="BF5" s="40"/>
      <c r="BG5" s="37" t="s">
        <v>6</v>
      </c>
      <c r="BH5" s="37" t="s">
        <v>7</v>
      </c>
      <c r="BI5" s="37" t="s">
        <v>8</v>
      </c>
      <c r="BJ5" s="38" t="s">
        <v>9</v>
      </c>
      <c r="BK5" s="39"/>
      <c r="BL5" s="39"/>
      <c r="BM5" s="39"/>
      <c r="BN5" s="40" t="s">
        <v>12</v>
      </c>
      <c r="BO5" s="40"/>
      <c r="BP5" s="40"/>
      <c r="BQ5" s="40"/>
      <c r="BR5" s="37" t="s">
        <v>6</v>
      </c>
      <c r="BS5" s="37" t="s">
        <v>7</v>
      </c>
      <c r="BT5" s="37" t="s">
        <v>8</v>
      </c>
      <c r="BU5" s="37" t="s">
        <v>19</v>
      </c>
      <c r="BV5" s="37" t="s">
        <v>6</v>
      </c>
      <c r="BW5" s="37" t="s">
        <v>7</v>
      </c>
      <c r="BX5" s="37" t="s">
        <v>8</v>
      </c>
      <c r="BY5" s="41" t="s">
        <v>19</v>
      </c>
      <c r="BZ5" s="37" t="s">
        <v>6</v>
      </c>
      <c r="CA5" s="37" t="s">
        <v>7</v>
      </c>
      <c r="CB5" s="37" t="s">
        <v>8</v>
      </c>
      <c r="CC5" s="37" t="s">
        <v>6</v>
      </c>
      <c r="CD5" s="37" t="s">
        <v>7</v>
      </c>
      <c r="CE5" s="37" t="s">
        <v>8</v>
      </c>
      <c r="CF5" s="37" t="s">
        <v>6</v>
      </c>
      <c r="CG5" s="37" t="s">
        <v>7</v>
      </c>
      <c r="CH5" s="43" t="s">
        <v>8</v>
      </c>
      <c r="CI5" s="28"/>
      <c r="CJ5" s="28"/>
    </row>
    <row r="6" spans="1:88" ht="111.75" customHeight="1">
      <c r="A6" s="25"/>
      <c r="B6" s="25"/>
      <c r="C6" s="26"/>
      <c r="D6" s="37"/>
      <c r="E6" s="37"/>
      <c r="F6" s="37"/>
      <c r="G6" s="6" t="s">
        <v>10</v>
      </c>
      <c r="H6" s="6" t="s">
        <v>6</v>
      </c>
      <c r="I6" s="6" t="s">
        <v>7</v>
      </c>
      <c r="J6" s="6" t="s">
        <v>8</v>
      </c>
      <c r="K6" s="6" t="s">
        <v>10</v>
      </c>
      <c r="L6" s="6" t="s">
        <v>6</v>
      </c>
      <c r="M6" s="6" t="s">
        <v>7</v>
      </c>
      <c r="N6" s="6" t="s">
        <v>8</v>
      </c>
      <c r="O6" s="37"/>
      <c r="P6" s="37"/>
      <c r="Q6" s="37"/>
      <c r="R6" s="6" t="s">
        <v>10</v>
      </c>
      <c r="S6" s="6" t="s">
        <v>6</v>
      </c>
      <c r="T6" s="6" t="s">
        <v>7</v>
      </c>
      <c r="U6" s="6" t="s">
        <v>8</v>
      </c>
      <c r="V6" s="6" t="s">
        <v>10</v>
      </c>
      <c r="W6" s="6" t="s">
        <v>6</v>
      </c>
      <c r="X6" s="6" t="s">
        <v>7</v>
      </c>
      <c r="Y6" s="6" t="s">
        <v>8</v>
      </c>
      <c r="Z6" s="37"/>
      <c r="AA6" s="37"/>
      <c r="AB6" s="37"/>
      <c r="AC6" s="6" t="s">
        <v>10</v>
      </c>
      <c r="AD6" s="6" t="s">
        <v>6</v>
      </c>
      <c r="AE6" s="6" t="s">
        <v>7</v>
      </c>
      <c r="AF6" s="6" t="s">
        <v>8</v>
      </c>
      <c r="AG6" s="6" t="s">
        <v>10</v>
      </c>
      <c r="AH6" s="6" t="s">
        <v>6</v>
      </c>
      <c r="AI6" s="6" t="s">
        <v>7</v>
      </c>
      <c r="AJ6" s="6" t="s">
        <v>8</v>
      </c>
      <c r="AK6" s="37"/>
      <c r="AL6" s="37"/>
      <c r="AM6" s="37"/>
      <c r="AN6" s="6" t="s">
        <v>10</v>
      </c>
      <c r="AO6" s="6" t="s">
        <v>6</v>
      </c>
      <c r="AP6" s="6" t="s">
        <v>7</v>
      </c>
      <c r="AQ6" s="6" t="s">
        <v>8</v>
      </c>
      <c r="AR6" s="6" t="s">
        <v>10</v>
      </c>
      <c r="AS6" s="6" t="s">
        <v>6</v>
      </c>
      <c r="AT6" s="6" t="s">
        <v>7</v>
      </c>
      <c r="AU6" s="6" t="s">
        <v>8</v>
      </c>
      <c r="AV6" s="37"/>
      <c r="AW6" s="37"/>
      <c r="AX6" s="37"/>
      <c r="AY6" s="6" t="s">
        <v>10</v>
      </c>
      <c r="AZ6" s="6" t="s">
        <v>6</v>
      </c>
      <c r="BA6" s="6" t="s">
        <v>7</v>
      </c>
      <c r="BB6" s="6" t="s">
        <v>8</v>
      </c>
      <c r="BC6" s="6" t="s">
        <v>10</v>
      </c>
      <c r="BD6" s="6" t="s">
        <v>6</v>
      </c>
      <c r="BE6" s="6" t="s">
        <v>7</v>
      </c>
      <c r="BF6" s="6" t="s">
        <v>8</v>
      </c>
      <c r="BG6" s="37"/>
      <c r="BH6" s="37"/>
      <c r="BI6" s="37"/>
      <c r="BJ6" s="6" t="s">
        <v>10</v>
      </c>
      <c r="BK6" s="6" t="s">
        <v>6</v>
      </c>
      <c r="BL6" s="6" t="s">
        <v>7</v>
      </c>
      <c r="BM6" s="6" t="s">
        <v>8</v>
      </c>
      <c r="BN6" s="6" t="s">
        <v>10</v>
      </c>
      <c r="BO6" s="6" t="s">
        <v>6</v>
      </c>
      <c r="BP6" s="6" t="s">
        <v>7</v>
      </c>
      <c r="BQ6" s="6" t="s">
        <v>8</v>
      </c>
      <c r="BR6" s="37"/>
      <c r="BS6" s="37"/>
      <c r="BT6" s="37"/>
      <c r="BU6" s="37"/>
      <c r="BV6" s="37"/>
      <c r="BW6" s="37"/>
      <c r="BX6" s="37"/>
      <c r="BY6" s="42"/>
      <c r="BZ6" s="37"/>
      <c r="CA6" s="37"/>
      <c r="CB6" s="37"/>
      <c r="CC6" s="37"/>
      <c r="CD6" s="37"/>
      <c r="CE6" s="37"/>
      <c r="CF6" s="37"/>
      <c r="CG6" s="37"/>
      <c r="CH6" s="43"/>
      <c r="CI6" s="28"/>
      <c r="CJ6" s="28"/>
    </row>
    <row r="7" spans="1:88" ht="11.2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  <c r="AB7" s="2">
        <v>28</v>
      </c>
      <c r="AC7" s="2">
        <v>29</v>
      </c>
      <c r="AD7" s="2">
        <v>30</v>
      </c>
      <c r="AE7" s="2">
        <v>31</v>
      </c>
      <c r="AF7" s="2">
        <v>32</v>
      </c>
      <c r="AG7" s="2">
        <v>33</v>
      </c>
      <c r="AH7" s="2">
        <v>34</v>
      </c>
      <c r="AI7" s="2">
        <v>35</v>
      </c>
      <c r="AJ7" s="2">
        <v>36</v>
      </c>
      <c r="AK7" s="2">
        <v>37</v>
      </c>
      <c r="AL7" s="2">
        <v>38</v>
      </c>
      <c r="AM7" s="2">
        <v>39</v>
      </c>
      <c r="AN7" s="2">
        <v>40</v>
      </c>
      <c r="AO7" s="2">
        <v>41</v>
      </c>
      <c r="AP7" s="2">
        <v>42</v>
      </c>
      <c r="AQ7" s="2">
        <v>43</v>
      </c>
      <c r="AR7" s="2">
        <v>44</v>
      </c>
      <c r="AS7" s="2">
        <v>45</v>
      </c>
      <c r="AT7" s="2">
        <v>46</v>
      </c>
      <c r="AU7" s="2">
        <v>47</v>
      </c>
      <c r="AV7" s="2">
        <v>48</v>
      </c>
      <c r="AW7" s="2">
        <v>49</v>
      </c>
      <c r="AX7" s="2">
        <v>50</v>
      </c>
      <c r="AY7" s="2">
        <v>51</v>
      </c>
      <c r="AZ7" s="2">
        <v>52</v>
      </c>
      <c r="BA7" s="2">
        <v>53</v>
      </c>
      <c r="BB7" s="2">
        <v>54</v>
      </c>
      <c r="BC7" s="2">
        <v>55</v>
      </c>
      <c r="BD7" s="2">
        <v>56</v>
      </c>
      <c r="BE7" s="2">
        <v>57</v>
      </c>
      <c r="BF7" s="2">
        <v>58</v>
      </c>
      <c r="BG7" s="2">
        <v>59</v>
      </c>
      <c r="BH7" s="2">
        <v>60</v>
      </c>
      <c r="BI7" s="2">
        <v>61</v>
      </c>
      <c r="BJ7" s="2">
        <v>62</v>
      </c>
      <c r="BK7" s="2">
        <v>63</v>
      </c>
      <c r="BL7" s="2">
        <v>64</v>
      </c>
      <c r="BM7" s="2">
        <v>65</v>
      </c>
      <c r="BN7" s="2">
        <v>66</v>
      </c>
      <c r="BO7" s="2">
        <v>67</v>
      </c>
      <c r="BP7" s="2">
        <v>68</v>
      </c>
      <c r="BQ7" s="2">
        <v>69</v>
      </c>
      <c r="BR7" s="2">
        <v>70</v>
      </c>
      <c r="BS7" s="2">
        <v>71</v>
      </c>
      <c r="BT7" s="2">
        <v>72</v>
      </c>
      <c r="BU7" s="2">
        <v>73</v>
      </c>
      <c r="BV7" s="2">
        <v>74</v>
      </c>
      <c r="BW7" s="2">
        <v>75</v>
      </c>
      <c r="BX7" s="2">
        <v>76</v>
      </c>
      <c r="BY7" s="2">
        <v>77</v>
      </c>
      <c r="BZ7" s="2">
        <v>78</v>
      </c>
      <c r="CA7" s="2">
        <v>79</v>
      </c>
      <c r="CB7" s="2">
        <v>80</v>
      </c>
      <c r="CC7" s="2">
        <v>81</v>
      </c>
      <c r="CD7" s="2">
        <v>82</v>
      </c>
      <c r="CE7" s="2">
        <v>83</v>
      </c>
      <c r="CF7" s="2">
        <v>84</v>
      </c>
      <c r="CG7" s="2">
        <v>85</v>
      </c>
      <c r="CH7" s="2">
        <v>86</v>
      </c>
      <c r="CI7" s="2">
        <v>87</v>
      </c>
      <c r="CJ7" s="2">
        <v>88</v>
      </c>
    </row>
    <row r="8" spans="1:88" ht="12" customHeight="1">
      <c r="A8" s="17" t="str">
        <f>"1. Грязовецкий р-н"</f>
        <v>1. Грязовецкий р-н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</row>
    <row r="9" spans="1:88" ht="11.25" customHeight="1">
      <c r="A9" s="19" t="s">
        <v>35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</row>
    <row r="10" spans="1:88" ht="11.25" customHeight="1">
      <c r="A10" s="19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</row>
    <row r="11" spans="1:88" ht="11.25" customHeight="1">
      <c r="A11" s="21" t="s">
        <v>36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</row>
    <row r="12" spans="1:88" ht="11.25" customHeight="1">
      <c r="A12" s="21" t="s">
        <v>37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</row>
    <row r="13" spans="1:88" ht="11.25" customHeight="1">
      <c r="A13" s="23" t="s">
        <v>38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</row>
    <row r="14" spans="1:88" ht="11.25" customHeight="1">
      <c r="A14" s="3" t="str">
        <f>"1.1"</f>
        <v>1.1</v>
      </c>
      <c r="B14" s="4" t="str">
        <f>"г. Грязовец, пер. Дружининского, д.1"</f>
        <v>г. Грязовец, пер. Дружининского, д.1</v>
      </c>
      <c r="C14" s="7" t="str">
        <f>"2000"</f>
        <v>2000</v>
      </c>
      <c r="D14" s="5" t="str">
        <f>"2000"</f>
        <v>2000</v>
      </c>
      <c r="E14" s="5" t="str">
        <f>"5,00"</f>
        <v>5,00</v>
      </c>
      <c r="F14" s="5" t="str">
        <f>"2025"</f>
        <v>2025</v>
      </c>
      <c r="G14" s="5" t="str">
        <f>"нет"</f>
        <v>нет</v>
      </c>
      <c r="H14" s="5" t="str">
        <f>""</f>
        <v/>
      </c>
      <c r="I14" s="5" t="str">
        <f>""</f>
        <v/>
      </c>
      <c r="J14" s="5" t="str">
        <f>""</f>
        <v/>
      </c>
      <c r="K14" s="5" t="str">
        <f>"нет"</f>
        <v>нет</v>
      </c>
      <c r="L14" s="5" t="str">
        <f>""</f>
        <v/>
      </c>
      <c r="M14" s="5" t="str">
        <f>""</f>
        <v/>
      </c>
      <c r="N14" s="5" t="str">
        <f>""</f>
        <v/>
      </c>
      <c r="O14" s="8" t="str">
        <f t="shared" ref="O14:Q18" si="0">"х"</f>
        <v>х</v>
      </c>
      <c r="P14" s="5" t="str">
        <f t="shared" si="0"/>
        <v>х</v>
      </c>
      <c r="Q14" s="5" t="str">
        <f t="shared" si="0"/>
        <v>х</v>
      </c>
      <c r="R14" s="5" t="str">
        <f>"нет"</f>
        <v>нет</v>
      </c>
      <c r="S14" s="5" t="str">
        <f t="shared" ref="S14:U18" si="1">"х"</f>
        <v>х</v>
      </c>
      <c r="T14" s="5" t="str">
        <f t="shared" si="1"/>
        <v>х</v>
      </c>
      <c r="U14" s="5" t="str">
        <f t="shared" si="1"/>
        <v>х</v>
      </c>
      <c r="V14" s="5" t="str">
        <f>"нет"</f>
        <v>нет</v>
      </c>
      <c r="W14" s="5" t="str">
        <f t="shared" ref="W14:Y18" si="2">"х"</f>
        <v>х</v>
      </c>
      <c r="X14" s="5" t="str">
        <f t="shared" si="2"/>
        <v>х</v>
      </c>
      <c r="Y14" s="9" t="str">
        <f t="shared" si="2"/>
        <v>х</v>
      </c>
      <c r="Z14" s="5" t="str">
        <f>"2000"</f>
        <v>2000</v>
      </c>
      <c r="AA14" s="5" t="str">
        <f>"5,00"</f>
        <v>5,00</v>
      </c>
      <c r="AB14" s="5" t="str">
        <f>"2020"</f>
        <v>2020</v>
      </c>
      <c r="AC14" s="5" t="str">
        <f>"нет"</f>
        <v>нет</v>
      </c>
      <c r="AD14" s="5" t="str">
        <f>""</f>
        <v/>
      </c>
      <c r="AE14" s="5" t="str">
        <f>""</f>
        <v/>
      </c>
      <c r="AF14" s="5" t="str">
        <f>""</f>
        <v/>
      </c>
      <c r="AG14" s="5" t="str">
        <f>"нет"</f>
        <v>нет</v>
      </c>
      <c r="AH14" s="5" t="str">
        <f>""</f>
        <v/>
      </c>
      <c r="AI14" s="5" t="str">
        <f>""</f>
        <v/>
      </c>
      <c r="AJ14" s="5" t="str">
        <f>""</f>
        <v/>
      </c>
      <c r="AK14" s="8" t="str">
        <f t="shared" ref="AK14:AM21" si="3">"х"</f>
        <v>х</v>
      </c>
      <c r="AL14" s="5" t="str">
        <f t="shared" si="3"/>
        <v>х</v>
      </c>
      <c r="AM14" s="5" t="str">
        <f t="shared" si="3"/>
        <v>х</v>
      </c>
      <c r="AN14" s="5" t="str">
        <f>"нет"</f>
        <v>нет</v>
      </c>
      <c r="AO14" s="5" t="str">
        <f t="shared" ref="AO14:AQ21" si="4">"х"</f>
        <v>х</v>
      </c>
      <c r="AP14" s="5" t="str">
        <f t="shared" si="4"/>
        <v>х</v>
      </c>
      <c r="AQ14" s="5" t="str">
        <f t="shared" si="4"/>
        <v>х</v>
      </c>
      <c r="AR14" s="5" t="str">
        <f>"нет"</f>
        <v>нет</v>
      </c>
      <c r="AS14" s="5" t="str">
        <f t="shared" ref="AS14:AX21" si="5">"х"</f>
        <v>х</v>
      </c>
      <c r="AT14" s="5" t="str">
        <f t="shared" si="5"/>
        <v>х</v>
      </c>
      <c r="AU14" s="5" t="str">
        <f t="shared" si="5"/>
        <v>х</v>
      </c>
      <c r="AV14" s="5" t="str">
        <f t="shared" si="5"/>
        <v>х</v>
      </c>
      <c r="AW14" s="5" t="str">
        <f t="shared" si="5"/>
        <v>х</v>
      </c>
      <c r="AX14" s="5" t="str">
        <f t="shared" si="5"/>
        <v>х</v>
      </c>
      <c r="AY14" s="5" t="str">
        <f>"нет"</f>
        <v>нет</v>
      </c>
      <c r="AZ14" s="5" t="str">
        <f t="shared" ref="AZ14:BB21" si="6">"х"</f>
        <v>х</v>
      </c>
      <c r="BA14" s="5" t="str">
        <f t="shared" si="6"/>
        <v>х</v>
      </c>
      <c r="BB14" s="5" t="str">
        <f t="shared" si="6"/>
        <v>х</v>
      </c>
      <c r="BC14" s="5" t="str">
        <f>"нет"</f>
        <v>нет</v>
      </c>
      <c r="BD14" s="5" t="str">
        <f t="shared" ref="BD14:BI21" si="7">"х"</f>
        <v>х</v>
      </c>
      <c r="BE14" s="5" t="str">
        <f t="shared" si="7"/>
        <v>х</v>
      </c>
      <c r="BF14" s="5" t="str">
        <f t="shared" si="7"/>
        <v>х</v>
      </c>
      <c r="BG14" s="5" t="str">
        <f t="shared" si="7"/>
        <v>х</v>
      </c>
      <c r="BH14" s="5" t="str">
        <f t="shared" si="7"/>
        <v>х</v>
      </c>
      <c r="BI14" s="5" t="str">
        <f t="shared" si="7"/>
        <v>х</v>
      </c>
      <c r="BJ14" s="5" t="str">
        <f>"нет"</f>
        <v>нет</v>
      </c>
      <c r="BK14" s="5" t="str">
        <f t="shared" ref="BK14:BM21" si="8">"х"</f>
        <v>х</v>
      </c>
      <c r="BL14" s="5" t="str">
        <f t="shared" si="8"/>
        <v>х</v>
      </c>
      <c r="BM14" s="5" t="str">
        <f t="shared" si="8"/>
        <v>х</v>
      </c>
      <c r="BN14" s="5" t="str">
        <f>"нет"</f>
        <v>нет</v>
      </c>
      <c r="BO14" s="5" t="str">
        <f t="shared" ref="BO14:BQ21" si="9">"х"</f>
        <v>х</v>
      </c>
      <c r="BP14" s="5" t="str">
        <f t="shared" si="9"/>
        <v>х</v>
      </c>
      <c r="BQ14" s="5" t="str">
        <f t="shared" si="9"/>
        <v>х</v>
      </c>
      <c r="BR14" s="5" t="str">
        <f>"2000"</f>
        <v>2000</v>
      </c>
      <c r="BS14" s="5" t="str">
        <f>"5,00"</f>
        <v>5,00</v>
      </c>
      <c r="BT14" s="5" t="str">
        <f>"2025"</f>
        <v>2025</v>
      </c>
      <c r="BU14" s="5" t="str">
        <f t="shared" ref="BU14:BU77" si="10">"нет"</f>
        <v>нет</v>
      </c>
      <c r="BV14" s="5" t="str">
        <f t="shared" ref="BV14:BX33" si="11">"x"</f>
        <v>x</v>
      </c>
      <c r="BW14" s="5" t="str">
        <f t="shared" si="11"/>
        <v>x</v>
      </c>
      <c r="BX14" s="5" t="str">
        <f t="shared" si="11"/>
        <v>x</v>
      </c>
      <c r="BY14" s="5" t="str">
        <f t="shared" ref="BY14:BY45" si="12">"нет"</f>
        <v>нет</v>
      </c>
      <c r="BZ14" s="5" t="str">
        <f>"2000"</f>
        <v>2000</v>
      </c>
      <c r="CA14" s="5" t="str">
        <f>"5,00"</f>
        <v>5,00</v>
      </c>
      <c r="CB14" s="5" t="str">
        <f>"2023"</f>
        <v>2023</v>
      </c>
      <c r="CC14" s="5" t="str">
        <f>"2000"</f>
        <v>2000</v>
      </c>
      <c r="CD14" s="5" t="str">
        <f>"5,00"</f>
        <v>5,00</v>
      </c>
      <c r="CE14" s="5" t="str">
        <f>"2026"</f>
        <v>2026</v>
      </c>
      <c r="CF14" s="5" t="str">
        <f>"2000"</f>
        <v>2000</v>
      </c>
      <c r="CG14" s="5" t="str">
        <f>"6,00"</f>
        <v>6,00</v>
      </c>
      <c r="CH14" s="5" t="str">
        <f>"2019"</f>
        <v>2019</v>
      </c>
      <c r="CI14" s="5" t="str">
        <f>"5,00"</f>
        <v>5,00</v>
      </c>
      <c r="CJ14" s="5" t="str">
        <f>"2044"</f>
        <v>2044</v>
      </c>
    </row>
    <row r="15" spans="1:88" ht="11.25" customHeight="1">
      <c r="A15" s="3" t="str">
        <f>"1.2"</f>
        <v>1.2</v>
      </c>
      <c r="B15" s="4" t="str">
        <f>"г. Грязовец, пер. Дружининского, д.2"</f>
        <v>г. Грязовец, пер. Дружининского, д.2</v>
      </c>
      <c r="C15" s="7" t="str">
        <f>"2000"</f>
        <v>2000</v>
      </c>
      <c r="D15" s="5" t="str">
        <f>"2000"</f>
        <v>2000</v>
      </c>
      <c r="E15" s="5" t="str">
        <f>"5,00"</f>
        <v>5,00</v>
      </c>
      <c r="F15" s="5" t="str">
        <f>"2021"</f>
        <v>2021</v>
      </c>
      <c r="G15" s="5" t="str">
        <f>"нет"</f>
        <v>нет</v>
      </c>
      <c r="H15" s="5" t="str">
        <f>""</f>
        <v/>
      </c>
      <c r="I15" s="5" t="str">
        <f>""</f>
        <v/>
      </c>
      <c r="J15" s="5" t="str">
        <f>""</f>
        <v/>
      </c>
      <c r="K15" s="5" t="str">
        <f>"нет"</f>
        <v>нет</v>
      </c>
      <c r="L15" s="5" t="str">
        <f>""</f>
        <v/>
      </c>
      <c r="M15" s="5" t="str">
        <f>""</f>
        <v/>
      </c>
      <c r="N15" s="5" t="str">
        <f>""</f>
        <v/>
      </c>
      <c r="O15" s="8" t="str">
        <f t="shared" si="0"/>
        <v>х</v>
      </c>
      <c r="P15" s="5" t="str">
        <f t="shared" si="0"/>
        <v>х</v>
      </c>
      <c r="Q15" s="5" t="str">
        <f t="shared" si="0"/>
        <v>х</v>
      </c>
      <c r="R15" s="5" t="str">
        <f>"нет"</f>
        <v>нет</v>
      </c>
      <c r="S15" s="5" t="str">
        <f t="shared" si="1"/>
        <v>х</v>
      </c>
      <c r="T15" s="5" t="str">
        <f t="shared" si="1"/>
        <v>х</v>
      </c>
      <c r="U15" s="5" t="str">
        <f t="shared" si="1"/>
        <v>х</v>
      </c>
      <c r="V15" s="5" t="str">
        <f>"нет"</f>
        <v>нет</v>
      </c>
      <c r="W15" s="5" t="str">
        <f t="shared" si="2"/>
        <v>х</v>
      </c>
      <c r="X15" s="5" t="str">
        <f t="shared" si="2"/>
        <v>х</v>
      </c>
      <c r="Y15" s="9" t="str">
        <f t="shared" si="2"/>
        <v>х</v>
      </c>
      <c r="Z15" s="5" t="str">
        <f>"2000"</f>
        <v>2000</v>
      </c>
      <c r="AA15" s="5" t="str">
        <f>"5,00"</f>
        <v>5,00</v>
      </c>
      <c r="AB15" s="5" t="str">
        <f>"2022"</f>
        <v>2022</v>
      </c>
      <c r="AC15" s="5" t="str">
        <f>"нет"</f>
        <v>нет</v>
      </c>
      <c r="AD15" s="5" t="str">
        <f>""</f>
        <v/>
      </c>
      <c r="AE15" s="5" t="str">
        <f>""</f>
        <v/>
      </c>
      <c r="AF15" s="5" t="str">
        <f>""</f>
        <v/>
      </c>
      <c r="AG15" s="5" t="str">
        <f>"нет"</f>
        <v>нет</v>
      </c>
      <c r="AH15" s="5" t="str">
        <f>""</f>
        <v/>
      </c>
      <c r="AI15" s="5" t="str">
        <f>""</f>
        <v/>
      </c>
      <c r="AJ15" s="5" t="str">
        <f>""</f>
        <v/>
      </c>
      <c r="AK15" s="8" t="str">
        <f t="shared" si="3"/>
        <v>х</v>
      </c>
      <c r="AL15" s="5" t="str">
        <f t="shared" si="3"/>
        <v>х</v>
      </c>
      <c r="AM15" s="5" t="str">
        <f t="shared" si="3"/>
        <v>х</v>
      </c>
      <c r="AN15" s="5" t="str">
        <f>"нет"</f>
        <v>нет</v>
      </c>
      <c r="AO15" s="5" t="str">
        <f t="shared" si="4"/>
        <v>х</v>
      </c>
      <c r="AP15" s="5" t="str">
        <f t="shared" si="4"/>
        <v>х</v>
      </c>
      <c r="AQ15" s="5" t="str">
        <f t="shared" si="4"/>
        <v>х</v>
      </c>
      <c r="AR15" s="5" t="str">
        <f>"нет"</f>
        <v>нет</v>
      </c>
      <c r="AS15" s="5" t="str">
        <f t="shared" si="5"/>
        <v>х</v>
      </c>
      <c r="AT15" s="5" t="str">
        <f t="shared" si="5"/>
        <v>х</v>
      </c>
      <c r="AU15" s="5" t="str">
        <f t="shared" si="5"/>
        <v>х</v>
      </c>
      <c r="AV15" s="5" t="str">
        <f t="shared" si="5"/>
        <v>х</v>
      </c>
      <c r="AW15" s="5" t="str">
        <f t="shared" si="5"/>
        <v>х</v>
      </c>
      <c r="AX15" s="5" t="str">
        <f t="shared" si="5"/>
        <v>х</v>
      </c>
      <c r="AY15" s="5" t="str">
        <f>"нет"</f>
        <v>нет</v>
      </c>
      <c r="AZ15" s="5" t="str">
        <f t="shared" si="6"/>
        <v>х</v>
      </c>
      <c r="BA15" s="5" t="str">
        <f t="shared" si="6"/>
        <v>х</v>
      </c>
      <c r="BB15" s="5" t="str">
        <f t="shared" si="6"/>
        <v>х</v>
      </c>
      <c r="BC15" s="5" t="str">
        <f>"нет"</f>
        <v>нет</v>
      </c>
      <c r="BD15" s="5" t="str">
        <f t="shared" si="7"/>
        <v>х</v>
      </c>
      <c r="BE15" s="5" t="str">
        <f t="shared" si="7"/>
        <v>х</v>
      </c>
      <c r="BF15" s="5" t="str">
        <f t="shared" si="7"/>
        <v>х</v>
      </c>
      <c r="BG15" s="5" t="str">
        <f t="shared" si="7"/>
        <v>х</v>
      </c>
      <c r="BH15" s="5" t="str">
        <f t="shared" si="7"/>
        <v>х</v>
      </c>
      <c r="BI15" s="5" t="str">
        <f t="shared" si="7"/>
        <v>х</v>
      </c>
      <c r="BJ15" s="5" t="str">
        <f>"нет"</f>
        <v>нет</v>
      </c>
      <c r="BK15" s="5" t="str">
        <f t="shared" si="8"/>
        <v>х</v>
      </c>
      <c r="BL15" s="5" t="str">
        <f t="shared" si="8"/>
        <v>х</v>
      </c>
      <c r="BM15" s="5" t="str">
        <f t="shared" si="8"/>
        <v>х</v>
      </c>
      <c r="BN15" s="5" t="str">
        <f>"нет"</f>
        <v>нет</v>
      </c>
      <c r="BO15" s="5" t="str">
        <f t="shared" si="9"/>
        <v>х</v>
      </c>
      <c r="BP15" s="5" t="str">
        <f t="shared" si="9"/>
        <v>х</v>
      </c>
      <c r="BQ15" s="5" t="str">
        <f t="shared" si="9"/>
        <v>х</v>
      </c>
      <c r="BR15" s="5" t="str">
        <f>"2000"</f>
        <v>2000</v>
      </c>
      <c r="BS15" s="5" t="str">
        <f>"5,00"</f>
        <v>5,00</v>
      </c>
      <c r="BT15" s="5" t="str">
        <f>"2019"</f>
        <v>2019</v>
      </c>
      <c r="BU15" s="5" t="str">
        <f t="shared" si="10"/>
        <v>нет</v>
      </c>
      <c r="BV15" s="5" t="str">
        <f t="shared" si="11"/>
        <v>x</v>
      </c>
      <c r="BW15" s="5" t="str">
        <f t="shared" si="11"/>
        <v>x</v>
      </c>
      <c r="BX15" s="5" t="str">
        <f t="shared" si="11"/>
        <v>x</v>
      </c>
      <c r="BY15" s="5" t="str">
        <f t="shared" si="12"/>
        <v>нет</v>
      </c>
      <c r="BZ15" s="5" t="str">
        <f>"2000"</f>
        <v>2000</v>
      </c>
      <c r="CA15" s="5" t="str">
        <f>"5,00"</f>
        <v>5,00</v>
      </c>
      <c r="CB15" s="5" t="str">
        <f>"2019"</f>
        <v>2019</v>
      </c>
      <c r="CC15" s="5" t="str">
        <f>"2000"</f>
        <v>2000</v>
      </c>
      <c r="CD15" s="5" t="str">
        <f>"5,00"</f>
        <v>5,00</v>
      </c>
      <c r="CE15" s="5" t="str">
        <f>"2019"</f>
        <v>2019</v>
      </c>
      <c r="CF15" s="5" t="str">
        <f>"2000"</f>
        <v>2000</v>
      </c>
      <c r="CG15" s="5" t="str">
        <f>"5,00"</f>
        <v>5,00</v>
      </c>
      <c r="CH15" s="5" t="str">
        <f>"2020"</f>
        <v>2020</v>
      </c>
      <c r="CI15" s="5" t="str">
        <f>"5,00"</f>
        <v>5,00</v>
      </c>
      <c r="CJ15" s="5" t="str">
        <f>"2043"</f>
        <v>2043</v>
      </c>
    </row>
    <row r="16" spans="1:88" ht="11.25" customHeight="1">
      <c r="A16" s="3" t="str">
        <f>"1.3"</f>
        <v>1.3</v>
      </c>
      <c r="B16" s="4" t="str">
        <f>"г. Грязовец, пер. Дружининского, д.3"</f>
        <v>г. Грязовец, пер. Дружининского, д.3</v>
      </c>
      <c r="C16" s="7" t="str">
        <f>"2001"</f>
        <v>2001</v>
      </c>
      <c r="D16" s="5" t="str">
        <f>"2001"</f>
        <v>2001</v>
      </c>
      <c r="E16" s="5" t="str">
        <f>"5,00"</f>
        <v>5,00</v>
      </c>
      <c r="F16" s="5" t="str">
        <f>"2019"</f>
        <v>2019</v>
      </c>
      <c r="G16" s="5" t="str">
        <f>"нет"</f>
        <v>нет</v>
      </c>
      <c r="H16" s="5" t="str">
        <f>""</f>
        <v/>
      </c>
      <c r="I16" s="5" t="str">
        <f>""</f>
        <v/>
      </c>
      <c r="J16" s="5" t="str">
        <f>""</f>
        <v/>
      </c>
      <c r="K16" s="5" t="str">
        <f>"нет"</f>
        <v>нет</v>
      </c>
      <c r="L16" s="5" t="str">
        <f>""</f>
        <v/>
      </c>
      <c r="M16" s="5" t="str">
        <f>""</f>
        <v/>
      </c>
      <c r="N16" s="5" t="str">
        <f>""</f>
        <v/>
      </c>
      <c r="O16" s="8" t="str">
        <f t="shared" si="0"/>
        <v>х</v>
      </c>
      <c r="P16" s="5" t="str">
        <f t="shared" si="0"/>
        <v>х</v>
      </c>
      <c r="Q16" s="5" t="str">
        <f t="shared" si="0"/>
        <v>х</v>
      </c>
      <c r="R16" s="5" t="str">
        <f>"нет"</f>
        <v>нет</v>
      </c>
      <c r="S16" s="5" t="str">
        <f t="shared" si="1"/>
        <v>х</v>
      </c>
      <c r="T16" s="5" t="str">
        <f t="shared" si="1"/>
        <v>х</v>
      </c>
      <c r="U16" s="5" t="str">
        <f t="shared" si="1"/>
        <v>х</v>
      </c>
      <c r="V16" s="5" t="str">
        <f>"нет"</f>
        <v>нет</v>
      </c>
      <c r="W16" s="5" t="str">
        <f t="shared" si="2"/>
        <v>х</v>
      </c>
      <c r="X16" s="5" t="str">
        <f t="shared" si="2"/>
        <v>х</v>
      </c>
      <c r="Y16" s="9" t="str">
        <f t="shared" si="2"/>
        <v>х</v>
      </c>
      <c r="Z16" s="5" t="str">
        <f>"2001"</f>
        <v>2001</v>
      </c>
      <c r="AA16" s="5" t="str">
        <f>"5,00"</f>
        <v>5,00</v>
      </c>
      <c r="AB16" s="5" t="str">
        <f>"2019"</f>
        <v>2019</v>
      </c>
      <c r="AC16" s="5" t="str">
        <f>"нет"</f>
        <v>нет</v>
      </c>
      <c r="AD16" s="5" t="str">
        <f>"х"</f>
        <v>х</v>
      </c>
      <c r="AE16" s="5" t="str">
        <f>"х"</f>
        <v>х</v>
      </c>
      <c r="AF16" s="5" t="str">
        <f>"х"</f>
        <v>х</v>
      </c>
      <c r="AG16" s="5" t="str">
        <f>"нет"</f>
        <v>нет</v>
      </c>
      <c r="AH16" s="5" t="str">
        <f>"х"</f>
        <v>х</v>
      </c>
      <c r="AI16" s="5" t="str">
        <f>"х"</f>
        <v>х</v>
      </c>
      <c r="AJ16" s="5" t="str">
        <f>"х"</f>
        <v>х</v>
      </c>
      <c r="AK16" s="8" t="str">
        <f t="shared" si="3"/>
        <v>х</v>
      </c>
      <c r="AL16" s="5" t="str">
        <f t="shared" si="3"/>
        <v>х</v>
      </c>
      <c r="AM16" s="5" t="str">
        <f t="shared" si="3"/>
        <v>х</v>
      </c>
      <c r="AN16" s="5" t="str">
        <f>"нет"</f>
        <v>нет</v>
      </c>
      <c r="AO16" s="5" t="str">
        <f t="shared" si="4"/>
        <v>х</v>
      </c>
      <c r="AP16" s="5" t="str">
        <f t="shared" si="4"/>
        <v>х</v>
      </c>
      <c r="AQ16" s="5" t="str">
        <f t="shared" si="4"/>
        <v>х</v>
      </c>
      <c r="AR16" s="5" t="str">
        <f>"нет"</f>
        <v>нет</v>
      </c>
      <c r="AS16" s="5" t="str">
        <f t="shared" si="5"/>
        <v>х</v>
      </c>
      <c r="AT16" s="5" t="str">
        <f t="shared" si="5"/>
        <v>х</v>
      </c>
      <c r="AU16" s="5" t="str">
        <f t="shared" si="5"/>
        <v>х</v>
      </c>
      <c r="AV16" s="5" t="str">
        <f t="shared" si="5"/>
        <v>х</v>
      </c>
      <c r="AW16" s="5" t="str">
        <f t="shared" si="5"/>
        <v>х</v>
      </c>
      <c r="AX16" s="5" t="str">
        <f t="shared" si="5"/>
        <v>х</v>
      </c>
      <c r="AY16" s="5" t="str">
        <f>"нет"</f>
        <v>нет</v>
      </c>
      <c r="AZ16" s="5" t="str">
        <f t="shared" si="6"/>
        <v>х</v>
      </c>
      <c r="BA16" s="5" t="str">
        <f t="shared" si="6"/>
        <v>х</v>
      </c>
      <c r="BB16" s="5" t="str">
        <f t="shared" si="6"/>
        <v>х</v>
      </c>
      <c r="BC16" s="5" t="str">
        <f>"нет"</f>
        <v>нет</v>
      </c>
      <c r="BD16" s="5" t="str">
        <f t="shared" si="7"/>
        <v>х</v>
      </c>
      <c r="BE16" s="5" t="str">
        <f t="shared" si="7"/>
        <v>х</v>
      </c>
      <c r="BF16" s="5" t="str">
        <f t="shared" si="7"/>
        <v>х</v>
      </c>
      <c r="BG16" s="5" t="str">
        <f t="shared" si="7"/>
        <v>х</v>
      </c>
      <c r="BH16" s="5" t="str">
        <f t="shared" si="7"/>
        <v>х</v>
      </c>
      <c r="BI16" s="5" t="str">
        <f t="shared" si="7"/>
        <v>х</v>
      </c>
      <c r="BJ16" s="5" t="str">
        <f>"нет"</f>
        <v>нет</v>
      </c>
      <c r="BK16" s="5" t="str">
        <f t="shared" si="8"/>
        <v>х</v>
      </c>
      <c r="BL16" s="5" t="str">
        <f t="shared" si="8"/>
        <v>х</v>
      </c>
      <c r="BM16" s="5" t="str">
        <f t="shared" si="8"/>
        <v>х</v>
      </c>
      <c r="BN16" s="5" t="str">
        <f>"нет"</f>
        <v>нет</v>
      </c>
      <c r="BO16" s="5" t="str">
        <f t="shared" si="9"/>
        <v>х</v>
      </c>
      <c r="BP16" s="5" t="str">
        <f t="shared" si="9"/>
        <v>х</v>
      </c>
      <c r="BQ16" s="5" t="str">
        <f t="shared" si="9"/>
        <v>х</v>
      </c>
      <c r="BR16" s="5" t="str">
        <f>"2001"</f>
        <v>2001</v>
      </c>
      <c r="BS16" s="5" t="str">
        <f>"5,00"</f>
        <v>5,00</v>
      </c>
      <c r="BT16" s="5" t="str">
        <f>"2019"</f>
        <v>2019</v>
      </c>
      <c r="BU16" s="5" t="str">
        <f t="shared" si="10"/>
        <v>нет</v>
      </c>
      <c r="BV16" s="5" t="str">
        <f t="shared" si="11"/>
        <v>x</v>
      </c>
      <c r="BW16" s="5" t="str">
        <f t="shared" si="11"/>
        <v>x</v>
      </c>
      <c r="BX16" s="5" t="str">
        <f t="shared" si="11"/>
        <v>x</v>
      </c>
      <c r="BY16" s="5" t="str">
        <f t="shared" si="12"/>
        <v>нет</v>
      </c>
      <c r="BZ16" s="5" t="str">
        <f>"2001"</f>
        <v>2001</v>
      </c>
      <c r="CA16" s="5" t="str">
        <f>"5,00"</f>
        <v>5,00</v>
      </c>
      <c r="CB16" s="5" t="str">
        <f>"2021"</f>
        <v>2021</v>
      </c>
      <c r="CC16" s="5" t="str">
        <f>"2001"</f>
        <v>2001</v>
      </c>
      <c r="CD16" s="5" t="str">
        <f>"5,00"</f>
        <v>5,00</v>
      </c>
      <c r="CE16" s="5" t="str">
        <f>"2025"</f>
        <v>2025</v>
      </c>
      <c r="CF16" s="5" t="str">
        <f>"2001"</f>
        <v>2001</v>
      </c>
      <c r="CG16" s="5" t="str">
        <f>"5,00"</f>
        <v>5,00</v>
      </c>
      <c r="CH16" s="5" t="str">
        <f>"2019"</f>
        <v>2019</v>
      </c>
      <c r="CI16" s="5" t="str">
        <f>"5,00"</f>
        <v>5,00</v>
      </c>
      <c r="CJ16" s="5" t="str">
        <f>"2040"</f>
        <v>2040</v>
      </c>
    </row>
    <row r="17" spans="1:88" ht="11.25" customHeight="1">
      <c r="A17" s="3" t="str">
        <f>"1.4"</f>
        <v>1.4</v>
      </c>
      <c r="B17" s="4" t="str">
        <f>"г. Грязовец, пер. Дружининского, д.4"</f>
        <v>г. Грязовец, пер. Дружининского, д.4</v>
      </c>
      <c r="C17" s="7" t="str">
        <f>"2001"</f>
        <v>2001</v>
      </c>
      <c r="D17" s="5" t="str">
        <f>"2001"</f>
        <v>2001</v>
      </c>
      <c r="E17" s="5" t="str">
        <f>"5,00"</f>
        <v>5,00</v>
      </c>
      <c r="F17" s="5" t="str">
        <f>"2022"</f>
        <v>2022</v>
      </c>
      <c r="G17" s="5" t="str">
        <f>"нет"</f>
        <v>нет</v>
      </c>
      <c r="H17" s="5" t="str">
        <f>""</f>
        <v/>
      </c>
      <c r="I17" s="5" t="str">
        <f>""</f>
        <v/>
      </c>
      <c r="J17" s="5" t="str">
        <f>""</f>
        <v/>
      </c>
      <c r="K17" s="5" t="str">
        <f>"нет"</f>
        <v>нет</v>
      </c>
      <c r="L17" s="5" t="str">
        <f>""</f>
        <v/>
      </c>
      <c r="M17" s="5" t="str">
        <f>""</f>
        <v/>
      </c>
      <c r="N17" s="5" t="str">
        <f>""</f>
        <v/>
      </c>
      <c r="O17" s="8" t="str">
        <f t="shared" si="0"/>
        <v>х</v>
      </c>
      <c r="P17" s="5" t="str">
        <f t="shared" si="0"/>
        <v>х</v>
      </c>
      <c r="Q17" s="5" t="str">
        <f t="shared" si="0"/>
        <v>х</v>
      </c>
      <c r="R17" s="5" t="str">
        <f>"нет"</f>
        <v>нет</v>
      </c>
      <c r="S17" s="5" t="str">
        <f t="shared" si="1"/>
        <v>х</v>
      </c>
      <c r="T17" s="5" t="str">
        <f t="shared" si="1"/>
        <v>х</v>
      </c>
      <c r="U17" s="5" t="str">
        <f t="shared" si="1"/>
        <v>х</v>
      </c>
      <c r="V17" s="5" t="str">
        <f>"нет"</f>
        <v>нет</v>
      </c>
      <c r="W17" s="5" t="str">
        <f t="shared" si="2"/>
        <v>х</v>
      </c>
      <c r="X17" s="5" t="str">
        <f t="shared" si="2"/>
        <v>х</v>
      </c>
      <c r="Y17" s="9" t="str">
        <f t="shared" si="2"/>
        <v>х</v>
      </c>
      <c r="Z17" s="5" t="str">
        <f>"2001"</f>
        <v>2001</v>
      </c>
      <c r="AA17" s="5" t="str">
        <f>"5,00"</f>
        <v>5,00</v>
      </c>
      <c r="AB17" s="5" t="str">
        <f>"2044"</f>
        <v>2044</v>
      </c>
      <c r="AC17" s="5" t="str">
        <f>"нет"</f>
        <v>нет</v>
      </c>
      <c r="AD17" s="5" t="str">
        <f>""</f>
        <v/>
      </c>
      <c r="AE17" s="5" t="str">
        <f>""</f>
        <v/>
      </c>
      <c r="AF17" s="5" t="str">
        <f>""</f>
        <v/>
      </c>
      <c r="AG17" s="5" t="str">
        <f>"нет"</f>
        <v>нет</v>
      </c>
      <c r="AH17" s="5" t="str">
        <f>""</f>
        <v/>
      </c>
      <c r="AI17" s="5" t="str">
        <f>""</f>
        <v/>
      </c>
      <c r="AJ17" s="5" t="str">
        <f>""</f>
        <v/>
      </c>
      <c r="AK17" s="8" t="str">
        <f t="shared" si="3"/>
        <v>х</v>
      </c>
      <c r="AL17" s="5" t="str">
        <f t="shared" si="3"/>
        <v>х</v>
      </c>
      <c r="AM17" s="5" t="str">
        <f t="shared" si="3"/>
        <v>х</v>
      </c>
      <c r="AN17" s="5" t="str">
        <f>"нет"</f>
        <v>нет</v>
      </c>
      <c r="AO17" s="5" t="str">
        <f t="shared" si="4"/>
        <v>х</v>
      </c>
      <c r="AP17" s="5" t="str">
        <f t="shared" si="4"/>
        <v>х</v>
      </c>
      <c r="AQ17" s="5" t="str">
        <f t="shared" si="4"/>
        <v>х</v>
      </c>
      <c r="AR17" s="5" t="str">
        <f>"нет"</f>
        <v>нет</v>
      </c>
      <c r="AS17" s="5" t="str">
        <f t="shared" si="5"/>
        <v>х</v>
      </c>
      <c r="AT17" s="5" t="str">
        <f t="shared" si="5"/>
        <v>х</v>
      </c>
      <c r="AU17" s="5" t="str">
        <f t="shared" si="5"/>
        <v>х</v>
      </c>
      <c r="AV17" s="5" t="str">
        <f t="shared" si="5"/>
        <v>х</v>
      </c>
      <c r="AW17" s="5" t="str">
        <f t="shared" si="5"/>
        <v>х</v>
      </c>
      <c r="AX17" s="5" t="str">
        <f t="shared" si="5"/>
        <v>х</v>
      </c>
      <c r="AY17" s="5" t="str">
        <f>"нет"</f>
        <v>нет</v>
      </c>
      <c r="AZ17" s="5" t="str">
        <f t="shared" si="6"/>
        <v>х</v>
      </c>
      <c r="BA17" s="5" t="str">
        <f t="shared" si="6"/>
        <v>х</v>
      </c>
      <c r="BB17" s="5" t="str">
        <f t="shared" si="6"/>
        <v>х</v>
      </c>
      <c r="BC17" s="5" t="str">
        <f>"нет"</f>
        <v>нет</v>
      </c>
      <c r="BD17" s="5" t="str">
        <f t="shared" si="7"/>
        <v>х</v>
      </c>
      <c r="BE17" s="5" t="str">
        <f t="shared" si="7"/>
        <v>х</v>
      </c>
      <c r="BF17" s="5" t="str">
        <f t="shared" si="7"/>
        <v>х</v>
      </c>
      <c r="BG17" s="5" t="str">
        <f t="shared" si="7"/>
        <v>х</v>
      </c>
      <c r="BH17" s="5" t="str">
        <f t="shared" si="7"/>
        <v>х</v>
      </c>
      <c r="BI17" s="5" t="str">
        <f t="shared" si="7"/>
        <v>х</v>
      </c>
      <c r="BJ17" s="5" t="str">
        <f>"нет"</f>
        <v>нет</v>
      </c>
      <c r="BK17" s="5" t="str">
        <f t="shared" si="8"/>
        <v>х</v>
      </c>
      <c r="BL17" s="5" t="str">
        <f t="shared" si="8"/>
        <v>х</v>
      </c>
      <c r="BM17" s="5" t="str">
        <f t="shared" si="8"/>
        <v>х</v>
      </c>
      <c r="BN17" s="5" t="str">
        <f>"нет"</f>
        <v>нет</v>
      </c>
      <c r="BO17" s="5" t="str">
        <f t="shared" si="9"/>
        <v>х</v>
      </c>
      <c r="BP17" s="5" t="str">
        <f t="shared" si="9"/>
        <v>х</v>
      </c>
      <c r="BQ17" s="5" t="str">
        <f t="shared" si="9"/>
        <v>х</v>
      </c>
      <c r="BR17" s="5" t="str">
        <f>"2001"</f>
        <v>2001</v>
      </c>
      <c r="BS17" s="5" t="str">
        <f>"5,00"</f>
        <v>5,00</v>
      </c>
      <c r="BT17" s="5" t="str">
        <f>"2020"</f>
        <v>2020</v>
      </c>
      <c r="BU17" s="5" t="str">
        <f t="shared" si="10"/>
        <v>нет</v>
      </c>
      <c r="BV17" s="5" t="str">
        <f t="shared" si="11"/>
        <v>x</v>
      </c>
      <c r="BW17" s="5" t="str">
        <f t="shared" si="11"/>
        <v>x</v>
      </c>
      <c r="BX17" s="5" t="str">
        <f t="shared" si="11"/>
        <v>x</v>
      </c>
      <c r="BY17" s="5" t="str">
        <f t="shared" si="12"/>
        <v>нет</v>
      </c>
      <c r="BZ17" s="5" t="str">
        <f>"2001"</f>
        <v>2001</v>
      </c>
      <c r="CA17" s="5" t="str">
        <f>"5,00"</f>
        <v>5,00</v>
      </c>
      <c r="CB17" s="5" t="str">
        <f>"2026"</f>
        <v>2026</v>
      </c>
      <c r="CC17" s="5" t="str">
        <f>"2001"</f>
        <v>2001</v>
      </c>
      <c r="CD17" s="5" t="str">
        <f>"5,00"</f>
        <v>5,00</v>
      </c>
      <c r="CE17" s="5" t="str">
        <f>"2028"</f>
        <v>2028</v>
      </c>
      <c r="CF17" s="5" t="str">
        <f>"2001"</f>
        <v>2001</v>
      </c>
      <c r="CG17" s="5" t="str">
        <f>"5,00"</f>
        <v>5,00</v>
      </c>
      <c r="CH17" s="5" t="str">
        <f>"2025"</f>
        <v>2025</v>
      </c>
      <c r="CI17" s="5" t="str">
        <f>"5,00"</f>
        <v>5,00</v>
      </c>
      <c r="CJ17" s="5" t="str">
        <f>"2042"</f>
        <v>2042</v>
      </c>
    </row>
    <row r="18" spans="1:88" ht="11.25" customHeight="1">
      <c r="A18" s="3" t="str">
        <f>"1.5"</f>
        <v>1.5</v>
      </c>
      <c r="B18" s="4" t="str">
        <f>"г. Грязовец, пер. Зеленый, д.3"</f>
        <v>г. Грязовец, пер. Зеленый, д.3</v>
      </c>
      <c r="C18" s="7" t="str">
        <f>"1998"</f>
        <v>1998</v>
      </c>
      <c r="D18" s="5" t="str">
        <f>"1998"</f>
        <v>1998</v>
      </c>
      <c r="E18" s="5" t="str">
        <f>"10,00"</f>
        <v>10,00</v>
      </c>
      <c r="F18" s="5" t="str">
        <f>"2019"</f>
        <v>2019</v>
      </c>
      <c r="G18" s="5" t="str">
        <f>"нет"</f>
        <v>нет</v>
      </c>
      <c r="H18" s="5" t="str">
        <f>""</f>
        <v/>
      </c>
      <c r="I18" s="5" t="str">
        <f>""</f>
        <v/>
      </c>
      <c r="J18" s="5" t="str">
        <f>""</f>
        <v/>
      </c>
      <c r="K18" s="5" t="str">
        <f>"нет"</f>
        <v>нет</v>
      </c>
      <c r="L18" s="5" t="str">
        <f>""</f>
        <v/>
      </c>
      <c r="M18" s="5" t="str">
        <f>""</f>
        <v/>
      </c>
      <c r="N18" s="5" t="str">
        <f>""</f>
        <v/>
      </c>
      <c r="O18" s="8" t="str">
        <f t="shared" si="0"/>
        <v>х</v>
      </c>
      <c r="P18" s="5" t="str">
        <f t="shared" si="0"/>
        <v>х</v>
      </c>
      <c r="Q18" s="5" t="str">
        <f t="shared" si="0"/>
        <v>х</v>
      </c>
      <c r="R18" s="5" t="str">
        <f>"нет"</f>
        <v>нет</v>
      </c>
      <c r="S18" s="5" t="str">
        <f t="shared" si="1"/>
        <v>х</v>
      </c>
      <c r="T18" s="5" t="str">
        <f t="shared" si="1"/>
        <v>х</v>
      </c>
      <c r="U18" s="5" t="str">
        <f t="shared" si="1"/>
        <v>х</v>
      </c>
      <c r="V18" s="5" t="str">
        <f>"нет"</f>
        <v>нет</v>
      </c>
      <c r="W18" s="5" t="str">
        <f t="shared" si="2"/>
        <v>х</v>
      </c>
      <c r="X18" s="5" t="str">
        <f t="shared" si="2"/>
        <v>х</v>
      </c>
      <c r="Y18" s="9" t="str">
        <f t="shared" si="2"/>
        <v>х</v>
      </c>
      <c r="Z18" s="5" t="str">
        <f>"1998"</f>
        <v>1998</v>
      </c>
      <c r="AA18" s="5" t="str">
        <f>"12,00"</f>
        <v>12,00</v>
      </c>
      <c r="AB18" s="5" t="str">
        <f>"2019"</f>
        <v>2019</v>
      </c>
      <c r="AC18" s="5" t="str">
        <f>"нет"</f>
        <v>нет</v>
      </c>
      <c r="AD18" s="5" t="str">
        <f>""</f>
        <v/>
      </c>
      <c r="AE18" s="5" t="str">
        <f>""</f>
        <v/>
      </c>
      <c r="AF18" s="5" t="str">
        <f>""</f>
        <v/>
      </c>
      <c r="AG18" s="5" t="str">
        <f>"нет"</f>
        <v>нет</v>
      </c>
      <c r="AH18" s="5" t="str">
        <f>""</f>
        <v/>
      </c>
      <c r="AI18" s="5" t="str">
        <f>""</f>
        <v/>
      </c>
      <c r="AJ18" s="5" t="str">
        <f>""</f>
        <v/>
      </c>
      <c r="AK18" s="8" t="str">
        <f t="shared" si="3"/>
        <v>х</v>
      </c>
      <c r="AL18" s="5" t="str">
        <f t="shared" si="3"/>
        <v>х</v>
      </c>
      <c r="AM18" s="5" t="str">
        <f t="shared" si="3"/>
        <v>х</v>
      </c>
      <c r="AN18" s="5" t="str">
        <f>"нет"</f>
        <v>нет</v>
      </c>
      <c r="AO18" s="5" t="str">
        <f t="shared" si="4"/>
        <v>х</v>
      </c>
      <c r="AP18" s="5" t="str">
        <f t="shared" si="4"/>
        <v>х</v>
      </c>
      <c r="AQ18" s="5" t="str">
        <f t="shared" si="4"/>
        <v>х</v>
      </c>
      <c r="AR18" s="5" t="str">
        <f>"нет"</f>
        <v>нет</v>
      </c>
      <c r="AS18" s="5" t="str">
        <f t="shared" si="5"/>
        <v>х</v>
      </c>
      <c r="AT18" s="5" t="str">
        <f t="shared" si="5"/>
        <v>х</v>
      </c>
      <c r="AU18" s="5" t="str">
        <f t="shared" si="5"/>
        <v>х</v>
      </c>
      <c r="AV18" s="5" t="str">
        <f t="shared" si="5"/>
        <v>х</v>
      </c>
      <c r="AW18" s="5" t="str">
        <f t="shared" si="5"/>
        <v>х</v>
      </c>
      <c r="AX18" s="5" t="str">
        <f t="shared" si="5"/>
        <v>х</v>
      </c>
      <c r="AY18" s="5" t="str">
        <f>"нет"</f>
        <v>нет</v>
      </c>
      <c r="AZ18" s="5" t="str">
        <f t="shared" si="6"/>
        <v>х</v>
      </c>
      <c r="BA18" s="5" t="str">
        <f t="shared" si="6"/>
        <v>х</v>
      </c>
      <c r="BB18" s="5" t="str">
        <f t="shared" si="6"/>
        <v>х</v>
      </c>
      <c r="BC18" s="5" t="str">
        <f>"нет"</f>
        <v>нет</v>
      </c>
      <c r="BD18" s="5" t="str">
        <f t="shared" si="7"/>
        <v>х</v>
      </c>
      <c r="BE18" s="5" t="str">
        <f t="shared" si="7"/>
        <v>х</v>
      </c>
      <c r="BF18" s="5" t="str">
        <f t="shared" si="7"/>
        <v>х</v>
      </c>
      <c r="BG18" s="5" t="str">
        <f t="shared" si="7"/>
        <v>х</v>
      </c>
      <c r="BH18" s="5" t="str">
        <f t="shared" si="7"/>
        <v>х</v>
      </c>
      <c r="BI18" s="5" t="str">
        <f t="shared" si="7"/>
        <v>х</v>
      </c>
      <c r="BJ18" s="5" t="str">
        <f>"нет"</f>
        <v>нет</v>
      </c>
      <c r="BK18" s="5" t="str">
        <f t="shared" si="8"/>
        <v>х</v>
      </c>
      <c r="BL18" s="5" t="str">
        <f t="shared" si="8"/>
        <v>х</v>
      </c>
      <c r="BM18" s="5" t="str">
        <f t="shared" si="8"/>
        <v>х</v>
      </c>
      <c r="BN18" s="5" t="str">
        <f>"нет"</f>
        <v>нет</v>
      </c>
      <c r="BO18" s="5" t="str">
        <f t="shared" si="9"/>
        <v>х</v>
      </c>
      <c r="BP18" s="5" t="str">
        <f t="shared" si="9"/>
        <v>х</v>
      </c>
      <c r="BQ18" s="5" t="str">
        <f t="shared" si="9"/>
        <v>х</v>
      </c>
      <c r="BR18" s="5" t="str">
        <f>"1998"</f>
        <v>1998</v>
      </c>
      <c r="BS18" s="5" t="str">
        <f>"6,00"</f>
        <v>6,00</v>
      </c>
      <c r="BT18" s="5" t="str">
        <f>"2020"</f>
        <v>2020</v>
      </c>
      <c r="BU18" s="5" t="str">
        <f t="shared" si="10"/>
        <v>нет</v>
      </c>
      <c r="BV18" s="5" t="str">
        <f t="shared" si="11"/>
        <v>x</v>
      </c>
      <c r="BW18" s="5" t="str">
        <f t="shared" si="11"/>
        <v>x</v>
      </c>
      <c r="BX18" s="5" t="str">
        <f t="shared" si="11"/>
        <v>x</v>
      </c>
      <c r="BY18" s="5" t="str">
        <f t="shared" si="12"/>
        <v>нет</v>
      </c>
      <c r="BZ18" s="5" t="str">
        <f>"1998"</f>
        <v>1998</v>
      </c>
      <c r="CA18" s="5" t="str">
        <f>"8,00"</f>
        <v>8,00</v>
      </c>
      <c r="CB18" s="5" t="str">
        <f>"2023"</f>
        <v>2023</v>
      </c>
      <c r="CC18" s="5" t="str">
        <f>"1998"</f>
        <v>1998</v>
      </c>
      <c r="CD18" s="5" t="str">
        <f>"7,00"</f>
        <v>7,00</v>
      </c>
      <c r="CE18" s="5" t="str">
        <f>"2025"</f>
        <v>2025</v>
      </c>
      <c r="CF18" s="5" t="str">
        <f>"1998"</f>
        <v>1998</v>
      </c>
      <c r="CG18" s="5" t="str">
        <f>"9,00"</f>
        <v>9,00</v>
      </c>
      <c r="CH18" s="5" t="str">
        <f>"2022"</f>
        <v>2022</v>
      </c>
      <c r="CI18" s="5" t="str">
        <f>"5,00"</f>
        <v>5,00</v>
      </c>
      <c r="CJ18" s="5" t="str">
        <f>"2041"</f>
        <v>2041</v>
      </c>
    </row>
    <row r="19" spans="1:88" ht="11.25" customHeight="1">
      <c r="A19" s="3" t="str">
        <f>"1.6"</f>
        <v>1.6</v>
      </c>
      <c r="B19" s="4" t="str">
        <f>"г. Грязовец, пер. Лесной, д.15"</f>
        <v>г. Грязовец, пер. Лесной, д.15</v>
      </c>
      <c r="C19" s="7" t="str">
        <f>"1950"</f>
        <v>1950</v>
      </c>
      <c r="D19" s="5" t="str">
        <f t="shared" ref="D19:N19" si="13">"х"</f>
        <v>х</v>
      </c>
      <c r="E19" s="5" t="str">
        <f t="shared" si="13"/>
        <v>х</v>
      </c>
      <c r="F19" s="5" t="str">
        <f t="shared" si="13"/>
        <v>х</v>
      </c>
      <c r="G19" s="5" t="str">
        <f t="shared" si="13"/>
        <v>х</v>
      </c>
      <c r="H19" s="5" t="str">
        <f t="shared" si="13"/>
        <v>х</v>
      </c>
      <c r="I19" s="5" t="str">
        <f t="shared" si="13"/>
        <v>х</v>
      </c>
      <c r="J19" s="5" t="str">
        <f t="shared" si="13"/>
        <v>х</v>
      </c>
      <c r="K19" s="5" t="str">
        <f t="shared" si="13"/>
        <v>х</v>
      </c>
      <c r="L19" s="5" t="str">
        <f t="shared" si="13"/>
        <v>х</v>
      </c>
      <c r="M19" s="5" t="str">
        <f t="shared" si="13"/>
        <v>х</v>
      </c>
      <c r="N19" s="5" t="str">
        <f t="shared" si="13"/>
        <v>х</v>
      </c>
      <c r="O19" s="8" t="str">
        <f>""</f>
        <v/>
      </c>
      <c r="P19" s="5" t="str">
        <f>""</f>
        <v/>
      </c>
      <c r="Q19" s="5" t="str">
        <f>""</f>
        <v/>
      </c>
      <c r="R19" s="5" t="str">
        <f>""</f>
        <v/>
      </c>
      <c r="S19" s="5" t="str">
        <f>""</f>
        <v/>
      </c>
      <c r="T19" s="5" t="str">
        <f>""</f>
        <v/>
      </c>
      <c r="U19" s="5" t="str">
        <f>""</f>
        <v/>
      </c>
      <c r="V19" s="5" t="str">
        <f>""</f>
        <v/>
      </c>
      <c r="W19" s="5" t="str">
        <f>""</f>
        <v/>
      </c>
      <c r="X19" s="5" t="str">
        <f>""</f>
        <v/>
      </c>
      <c r="Y19" s="9" t="str">
        <f>""</f>
        <v/>
      </c>
      <c r="Z19" s="5" t="str">
        <f t="shared" ref="Z19:AJ19" si="14">"х"</f>
        <v>х</v>
      </c>
      <c r="AA19" s="5" t="str">
        <f t="shared" si="14"/>
        <v>х</v>
      </c>
      <c r="AB19" s="5" t="str">
        <f t="shared" si="14"/>
        <v>х</v>
      </c>
      <c r="AC19" s="5" t="str">
        <f t="shared" si="14"/>
        <v>х</v>
      </c>
      <c r="AD19" s="5" t="str">
        <f t="shared" si="14"/>
        <v>х</v>
      </c>
      <c r="AE19" s="5" t="str">
        <f t="shared" si="14"/>
        <v>х</v>
      </c>
      <c r="AF19" s="5" t="str">
        <f t="shared" si="14"/>
        <v>х</v>
      </c>
      <c r="AG19" s="5" t="str">
        <f t="shared" si="14"/>
        <v>х</v>
      </c>
      <c r="AH19" s="5" t="str">
        <f t="shared" si="14"/>
        <v>х</v>
      </c>
      <c r="AI19" s="5" t="str">
        <f t="shared" si="14"/>
        <v>х</v>
      </c>
      <c r="AJ19" s="5" t="str">
        <f t="shared" si="14"/>
        <v>х</v>
      </c>
      <c r="AK19" s="8" t="str">
        <f t="shared" si="3"/>
        <v>х</v>
      </c>
      <c r="AL19" s="5" t="str">
        <f t="shared" si="3"/>
        <v>х</v>
      </c>
      <c r="AM19" s="5" t="str">
        <f t="shared" si="3"/>
        <v>х</v>
      </c>
      <c r="AN19" s="5" t="str">
        <f>"х"</f>
        <v>х</v>
      </c>
      <c r="AO19" s="5" t="str">
        <f t="shared" si="4"/>
        <v>х</v>
      </c>
      <c r="AP19" s="5" t="str">
        <f t="shared" si="4"/>
        <v>х</v>
      </c>
      <c r="AQ19" s="5" t="str">
        <f t="shared" si="4"/>
        <v>х</v>
      </c>
      <c r="AR19" s="5" t="str">
        <f>"х"</f>
        <v>х</v>
      </c>
      <c r="AS19" s="5" t="str">
        <f t="shared" si="5"/>
        <v>х</v>
      </c>
      <c r="AT19" s="5" t="str">
        <f t="shared" si="5"/>
        <v>х</v>
      </c>
      <c r="AU19" s="5" t="str">
        <f t="shared" si="5"/>
        <v>х</v>
      </c>
      <c r="AV19" s="5" t="str">
        <f t="shared" si="5"/>
        <v>х</v>
      </c>
      <c r="AW19" s="5" t="str">
        <f t="shared" si="5"/>
        <v>х</v>
      </c>
      <c r="AX19" s="5" t="str">
        <f t="shared" si="5"/>
        <v>х</v>
      </c>
      <c r="AY19" s="5" t="str">
        <f>"х"</f>
        <v>х</v>
      </c>
      <c r="AZ19" s="5" t="str">
        <f t="shared" si="6"/>
        <v>х</v>
      </c>
      <c r="BA19" s="5" t="str">
        <f t="shared" si="6"/>
        <v>х</v>
      </c>
      <c r="BB19" s="5" t="str">
        <f t="shared" si="6"/>
        <v>х</v>
      </c>
      <c r="BC19" s="5" t="str">
        <f>"х"</f>
        <v>х</v>
      </c>
      <c r="BD19" s="5" t="str">
        <f t="shared" si="7"/>
        <v>х</v>
      </c>
      <c r="BE19" s="5" t="str">
        <f t="shared" si="7"/>
        <v>х</v>
      </c>
      <c r="BF19" s="5" t="str">
        <f t="shared" si="7"/>
        <v>х</v>
      </c>
      <c r="BG19" s="5" t="str">
        <f t="shared" si="7"/>
        <v>х</v>
      </c>
      <c r="BH19" s="5" t="str">
        <f t="shared" si="7"/>
        <v>х</v>
      </c>
      <c r="BI19" s="5" t="str">
        <f t="shared" si="7"/>
        <v>х</v>
      </c>
      <c r="BJ19" s="5" t="str">
        <f>"х"</f>
        <v>х</v>
      </c>
      <c r="BK19" s="5" t="str">
        <f t="shared" si="8"/>
        <v>х</v>
      </c>
      <c r="BL19" s="5" t="str">
        <f t="shared" si="8"/>
        <v>х</v>
      </c>
      <c r="BM19" s="5" t="str">
        <f t="shared" si="8"/>
        <v>х</v>
      </c>
      <c r="BN19" s="5" t="str">
        <f>"х"</f>
        <v>х</v>
      </c>
      <c r="BO19" s="5" t="str">
        <f t="shared" si="9"/>
        <v>х</v>
      </c>
      <c r="BP19" s="5" t="str">
        <f t="shared" si="9"/>
        <v>х</v>
      </c>
      <c r="BQ19" s="5" t="str">
        <f t="shared" si="9"/>
        <v>х</v>
      </c>
      <c r="BR19" s="5" t="str">
        <f>""</f>
        <v/>
      </c>
      <c r="BS19" s="5" t="str">
        <f>"65,00"</f>
        <v>65,00</v>
      </c>
      <c r="BT19" s="5" t="str">
        <f>"2018"</f>
        <v>2018</v>
      </c>
      <c r="BU19" s="5" t="str">
        <f t="shared" si="10"/>
        <v>нет</v>
      </c>
      <c r="BV19" s="5" t="str">
        <f t="shared" si="11"/>
        <v>x</v>
      </c>
      <c r="BW19" s="5" t="str">
        <f t="shared" si="11"/>
        <v>x</v>
      </c>
      <c r="BX19" s="5" t="str">
        <f t="shared" si="11"/>
        <v>x</v>
      </c>
      <c r="BY19" s="5" t="str">
        <f t="shared" si="12"/>
        <v>нет</v>
      </c>
      <c r="BZ19" s="5" t="str">
        <f>"x"</f>
        <v>x</v>
      </c>
      <c r="CA19" s="5" t="str">
        <f>"x"</f>
        <v>x</v>
      </c>
      <c r="CB19" s="5" t="str">
        <f>"x"</f>
        <v>x</v>
      </c>
      <c r="CC19" s="5" t="str">
        <f>""</f>
        <v/>
      </c>
      <c r="CD19" s="5" t="str">
        <f>"50,00"</f>
        <v>50,00</v>
      </c>
      <c r="CE19" s="5" t="str">
        <f>"2019"</f>
        <v>2019</v>
      </c>
      <c r="CF19" s="5" t="str">
        <f>""</f>
        <v/>
      </c>
      <c r="CG19" s="5" t="str">
        <f>"40,00"</f>
        <v>40,00</v>
      </c>
      <c r="CH19" s="5" t="str">
        <f>"2020"</f>
        <v>2020</v>
      </c>
      <c r="CI19" s="5" t="str">
        <f>"65,00"</f>
        <v>65,00</v>
      </c>
      <c r="CJ19" s="5" t="str">
        <f>"2025"</f>
        <v>2025</v>
      </c>
    </row>
    <row r="20" spans="1:88" ht="11.25" customHeight="1">
      <c r="A20" s="3" t="str">
        <f>"1.7"</f>
        <v>1.7</v>
      </c>
      <c r="B20" s="4" t="str">
        <f>"г. Грязовец, пер. Пригородный, д.9"</f>
        <v>г. Грязовец, пер. Пригородный, д.9</v>
      </c>
      <c r="C20" s="7" t="str">
        <f>"1960"</f>
        <v>1960</v>
      </c>
      <c r="D20" s="5" t="str">
        <f>"1960"</f>
        <v>1960</v>
      </c>
      <c r="E20" s="5" t="str">
        <f>"43,00"</f>
        <v>43,00</v>
      </c>
      <c r="F20" s="5" t="str">
        <f>"2024"</f>
        <v>2024</v>
      </c>
      <c r="G20" s="5" t="str">
        <f t="shared" ref="G20:G25" si="15">"нет"</f>
        <v>нет</v>
      </c>
      <c r="H20" s="5" t="str">
        <f>""</f>
        <v/>
      </c>
      <c r="I20" s="5" t="str">
        <f>""</f>
        <v/>
      </c>
      <c r="J20" s="5" t="str">
        <f>""</f>
        <v/>
      </c>
      <c r="K20" s="5" t="str">
        <f t="shared" ref="K20:K29" si="16">"нет"</f>
        <v>нет</v>
      </c>
      <c r="L20" s="5" t="str">
        <f>""</f>
        <v/>
      </c>
      <c r="M20" s="5" t="str">
        <f>""</f>
        <v/>
      </c>
      <c r="N20" s="5" t="str">
        <f>""</f>
        <v/>
      </c>
      <c r="O20" s="8" t="str">
        <f t="shared" ref="O20:Q21" si="17">"х"</f>
        <v>х</v>
      </c>
      <c r="P20" s="5" t="str">
        <f t="shared" si="17"/>
        <v>х</v>
      </c>
      <c r="Q20" s="5" t="str">
        <f t="shared" si="17"/>
        <v>х</v>
      </c>
      <c r="R20" s="5" t="str">
        <f t="shared" ref="R20:R29" si="18">"нет"</f>
        <v>нет</v>
      </c>
      <c r="S20" s="5" t="str">
        <f t="shared" ref="S20:U21" si="19">"х"</f>
        <v>х</v>
      </c>
      <c r="T20" s="5" t="str">
        <f t="shared" si="19"/>
        <v>х</v>
      </c>
      <c r="U20" s="5" t="str">
        <f t="shared" si="19"/>
        <v>х</v>
      </c>
      <c r="V20" s="5" t="str">
        <f t="shared" ref="V20:V29" si="20">"нет"</f>
        <v>нет</v>
      </c>
      <c r="W20" s="5" t="str">
        <f t="shared" ref="W20:AB20" si="21">"х"</f>
        <v>х</v>
      </c>
      <c r="X20" s="5" t="str">
        <f t="shared" si="21"/>
        <v>х</v>
      </c>
      <c r="Y20" s="9" t="str">
        <f t="shared" si="21"/>
        <v>х</v>
      </c>
      <c r="Z20" s="5" t="str">
        <f t="shared" si="21"/>
        <v>х</v>
      </c>
      <c r="AA20" s="5" t="str">
        <f t="shared" si="21"/>
        <v>х</v>
      </c>
      <c r="AB20" s="5" t="str">
        <f t="shared" si="21"/>
        <v>х</v>
      </c>
      <c r="AC20" s="5" t="str">
        <f t="shared" ref="AC20:AC29" si="22">"нет"</f>
        <v>нет</v>
      </c>
      <c r="AD20" s="5" t="str">
        <f>"х"</f>
        <v>х</v>
      </c>
      <c r="AE20" s="5" t="str">
        <f>"х"</f>
        <v>х</v>
      </c>
      <c r="AF20" s="5" t="str">
        <f>"х"</f>
        <v>х</v>
      </c>
      <c r="AG20" s="5" t="str">
        <f t="shared" ref="AG20:AG29" si="23">"нет"</f>
        <v>нет</v>
      </c>
      <c r="AH20" s="5" t="str">
        <f>"х"</f>
        <v>х</v>
      </c>
      <c r="AI20" s="5" t="str">
        <f>"х"</f>
        <v>х</v>
      </c>
      <c r="AJ20" s="5" t="str">
        <f>"х"</f>
        <v>х</v>
      </c>
      <c r="AK20" s="8" t="str">
        <f t="shared" si="3"/>
        <v>х</v>
      </c>
      <c r="AL20" s="5" t="str">
        <f t="shared" si="3"/>
        <v>х</v>
      </c>
      <c r="AM20" s="5" t="str">
        <f t="shared" si="3"/>
        <v>х</v>
      </c>
      <c r="AN20" s="5" t="str">
        <f t="shared" ref="AN20:AN29" si="24">"нет"</f>
        <v>нет</v>
      </c>
      <c r="AO20" s="5" t="str">
        <f t="shared" si="4"/>
        <v>х</v>
      </c>
      <c r="AP20" s="5" t="str">
        <f t="shared" si="4"/>
        <v>х</v>
      </c>
      <c r="AQ20" s="5" t="str">
        <f t="shared" si="4"/>
        <v>х</v>
      </c>
      <c r="AR20" s="5" t="str">
        <f t="shared" ref="AR20:AR29" si="25">"нет"</f>
        <v>нет</v>
      </c>
      <c r="AS20" s="5" t="str">
        <f t="shared" si="5"/>
        <v>х</v>
      </c>
      <c r="AT20" s="5" t="str">
        <f t="shared" si="5"/>
        <v>х</v>
      </c>
      <c r="AU20" s="5" t="str">
        <f t="shared" si="5"/>
        <v>х</v>
      </c>
      <c r="AV20" s="5" t="str">
        <f t="shared" si="5"/>
        <v>х</v>
      </c>
      <c r="AW20" s="5" t="str">
        <f t="shared" si="5"/>
        <v>х</v>
      </c>
      <c r="AX20" s="5" t="str">
        <f t="shared" si="5"/>
        <v>х</v>
      </c>
      <c r="AY20" s="5" t="str">
        <f t="shared" ref="AY20:AY29" si="26">"нет"</f>
        <v>нет</v>
      </c>
      <c r="AZ20" s="5" t="str">
        <f t="shared" si="6"/>
        <v>х</v>
      </c>
      <c r="BA20" s="5" t="str">
        <f t="shared" si="6"/>
        <v>х</v>
      </c>
      <c r="BB20" s="5" t="str">
        <f t="shared" si="6"/>
        <v>х</v>
      </c>
      <c r="BC20" s="5" t="str">
        <f t="shared" ref="BC20:BC29" si="27">"нет"</f>
        <v>нет</v>
      </c>
      <c r="BD20" s="5" t="str">
        <f t="shared" si="7"/>
        <v>х</v>
      </c>
      <c r="BE20" s="5" t="str">
        <f t="shared" si="7"/>
        <v>х</v>
      </c>
      <c r="BF20" s="5" t="str">
        <f t="shared" si="7"/>
        <v>х</v>
      </c>
      <c r="BG20" s="5" t="str">
        <f t="shared" si="7"/>
        <v>х</v>
      </c>
      <c r="BH20" s="5" t="str">
        <f t="shared" si="7"/>
        <v>х</v>
      </c>
      <c r="BI20" s="5" t="str">
        <f t="shared" si="7"/>
        <v>х</v>
      </c>
      <c r="BJ20" s="5" t="str">
        <f t="shared" ref="BJ20:BJ29" si="28">"нет"</f>
        <v>нет</v>
      </c>
      <c r="BK20" s="5" t="str">
        <f t="shared" si="8"/>
        <v>х</v>
      </c>
      <c r="BL20" s="5" t="str">
        <f t="shared" si="8"/>
        <v>х</v>
      </c>
      <c r="BM20" s="5" t="str">
        <f t="shared" si="8"/>
        <v>х</v>
      </c>
      <c r="BN20" s="5" t="str">
        <f t="shared" ref="BN20:BN29" si="29">"нет"</f>
        <v>нет</v>
      </c>
      <c r="BO20" s="5" t="str">
        <f t="shared" si="9"/>
        <v>х</v>
      </c>
      <c r="BP20" s="5" t="str">
        <f t="shared" si="9"/>
        <v>х</v>
      </c>
      <c r="BQ20" s="5" t="str">
        <f t="shared" si="9"/>
        <v>х</v>
      </c>
      <c r="BR20" s="5" t="str">
        <f>"1960"</f>
        <v>1960</v>
      </c>
      <c r="BS20" s="5" t="str">
        <f>"57,00"</f>
        <v>57,00</v>
      </c>
      <c r="BT20" s="5" t="str">
        <f>"2019"</f>
        <v>2019</v>
      </c>
      <c r="BU20" s="5" t="str">
        <f t="shared" si="10"/>
        <v>нет</v>
      </c>
      <c r="BV20" s="5" t="str">
        <f t="shared" si="11"/>
        <v>x</v>
      </c>
      <c r="BW20" s="5" t="str">
        <f t="shared" si="11"/>
        <v>x</v>
      </c>
      <c r="BX20" s="5" t="str">
        <f t="shared" si="11"/>
        <v>x</v>
      </c>
      <c r="BY20" s="5" t="str">
        <f t="shared" si="12"/>
        <v>нет</v>
      </c>
      <c r="BZ20" s="5" t="str">
        <f>"1960"</f>
        <v>1960</v>
      </c>
      <c r="CA20" s="5" t="str">
        <f>"56,00"</f>
        <v>56,00</v>
      </c>
      <c r="CB20" s="5" t="str">
        <f>"2020"</f>
        <v>2020</v>
      </c>
      <c r="CC20" s="5" t="str">
        <f>"1960"</f>
        <v>1960</v>
      </c>
      <c r="CD20" s="5" t="str">
        <f>"59,00"</f>
        <v>59,00</v>
      </c>
      <c r="CE20" s="5" t="str">
        <f>"2019"</f>
        <v>2019</v>
      </c>
      <c r="CF20" s="5" t="str">
        <f>"1960"</f>
        <v>1960</v>
      </c>
      <c r="CG20" s="5" t="str">
        <f>"56,00"</f>
        <v>56,00</v>
      </c>
      <c r="CH20" s="5" t="str">
        <f>"2019"</f>
        <v>2019</v>
      </c>
      <c r="CI20" s="5" t="str">
        <f>"58,00"</f>
        <v>58,00</v>
      </c>
      <c r="CJ20" s="5" t="str">
        <f>"2030"</f>
        <v>2030</v>
      </c>
    </row>
    <row r="21" spans="1:88" ht="11.25" customHeight="1">
      <c r="A21" s="3" t="str">
        <f>"1.8"</f>
        <v>1.8</v>
      </c>
      <c r="B21" s="4" t="str">
        <f>"г. Грязовец, пер. Северный 1-й, д.49"</f>
        <v>г. Грязовец, пер. Северный 1-й, д.49</v>
      </c>
      <c r="C21" s="7" t="str">
        <f>"1958"</f>
        <v>1958</v>
      </c>
      <c r="D21" s="5" t="str">
        <f>"1958"</f>
        <v>1958</v>
      </c>
      <c r="E21" s="5" t="str">
        <f>"49,00"</f>
        <v>49,00</v>
      </c>
      <c r="F21" s="5" t="str">
        <f>"2019"</f>
        <v>2019</v>
      </c>
      <c r="G21" s="5" t="str">
        <f t="shared" si="15"/>
        <v>нет</v>
      </c>
      <c r="H21" s="5" t="str">
        <f>""</f>
        <v/>
      </c>
      <c r="I21" s="5" t="str">
        <f>""</f>
        <v/>
      </c>
      <c r="J21" s="5" t="str">
        <f>""</f>
        <v/>
      </c>
      <c r="K21" s="5" t="str">
        <f t="shared" si="16"/>
        <v>нет</v>
      </c>
      <c r="L21" s="5" t="str">
        <f>""</f>
        <v/>
      </c>
      <c r="M21" s="5" t="str">
        <f>""</f>
        <v/>
      </c>
      <c r="N21" s="5" t="str">
        <f>""</f>
        <v/>
      </c>
      <c r="O21" s="8" t="str">
        <f t="shared" si="17"/>
        <v>х</v>
      </c>
      <c r="P21" s="5" t="str">
        <f t="shared" si="17"/>
        <v>х</v>
      </c>
      <c r="Q21" s="5" t="str">
        <f t="shared" si="17"/>
        <v>х</v>
      </c>
      <c r="R21" s="5" t="str">
        <f t="shared" si="18"/>
        <v>нет</v>
      </c>
      <c r="S21" s="5" t="str">
        <f t="shared" si="19"/>
        <v>х</v>
      </c>
      <c r="T21" s="5" t="str">
        <f t="shared" si="19"/>
        <v>х</v>
      </c>
      <c r="U21" s="5" t="str">
        <f t="shared" si="19"/>
        <v>х</v>
      </c>
      <c r="V21" s="5" t="str">
        <f t="shared" si="20"/>
        <v>нет</v>
      </c>
      <c r="W21" s="5" t="str">
        <f>"х"</f>
        <v>х</v>
      </c>
      <c r="X21" s="5" t="str">
        <f>"х"</f>
        <v>х</v>
      </c>
      <c r="Y21" s="9" t="str">
        <f>"х"</f>
        <v>х</v>
      </c>
      <c r="Z21" s="5" t="str">
        <f>"1958"</f>
        <v>1958</v>
      </c>
      <c r="AA21" s="5" t="str">
        <f>"55,00"</f>
        <v>55,00</v>
      </c>
      <c r="AB21" s="5" t="str">
        <f>"2019"</f>
        <v>2019</v>
      </c>
      <c r="AC21" s="5" t="str">
        <f t="shared" si="22"/>
        <v>нет</v>
      </c>
      <c r="AD21" s="5" t="str">
        <f>""</f>
        <v/>
      </c>
      <c r="AE21" s="5" t="str">
        <f>""</f>
        <v/>
      </c>
      <c r="AF21" s="5" t="str">
        <f>""</f>
        <v/>
      </c>
      <c r="AG21" s="5" t="str">
        <f t="shared" si="23"/>
        <v>нет</v>
      </c>
      <c r="AH21" s="5" t="str">
        <f>""</f>
        <v/>
      </c>
      <c r="AI21" s="5" t="str">
        <f>""</f>
        <v/>
      </c>
      <c r="AJ21" s="5" t="str">
        <f>""</f>
        <v/>
      </c>
      <c r="AK21" s="8" t="str">
        <f t="shared" si="3"/>
        <v>х</v>
      </c>
      <c r="AL21" s="5" t="str">
        <f t="shared" si="3"/>
        <v>х</v>
      </c>
      <c r="AM21" s="5" t="str">
        <f t="shared" si="3"/>
        <v>х</v>
      </c>
      <c r="AN21" s="5" t="str">
        <f t="shared" si="24"/>
        <v>нет</v>
      </c>
      <c r="AO21" s="5" t="str">
        <f t="shared" si="4"/>
        <v>х</v>
      </c>
      <c r="AP21" s="5" t="str">
        <f t="shared" si="4"/>
        <v>х</v>
      </c>
      <c r="AQ21" s="5" t="str">
        <f t="shared" si="4"/>
        <v>х</v>
      </c>
      <c r="AR21" s="5" t="str">
        <f t="shared" si="25"/>
        <v>нет</v>
      </c>
      <c r="AS21" s="5" t="str">
        <f t="shared" si="5"/>
        <v>х</v>
      </c>
      <c r="AT21" s="5" t="str">
        <f t="shared" si="5"/>
        <v>х</v>
      </c>
      <c r="AU21" s="5" t="str">
        <f t="shared" si="5"/>
        <v>х</v>
      </c>
      <c r="AV21" s="5" t="str">
        <f t="shared" si="5"/>
        <v>х</v>
      </c>
      <c r="AW21" s="5" t="str">
        <f t="shared" si="5"/>
        <v>х</v>
      </c>
      <c r="AX21" s="5" t="str">
        <f t="shared" si="5"/>
        <v>х</v>
      </c>
      <c r="AY21" s="5" t="str">
        <f t="shared" si="26"/>
        <v>нет</v>
      </c>
      <c r="AZ21" s="5" t="str">
        <f t="shared" si="6"/>
        <v>х</v>
      </c>
      <c r="BA21" s="5" t="str">
        <f t="shared" si="6"/>
        <v>х</v>
      </c>
      <c r="BB21" s="5" t="str">
        <f t="shared" si="6"/>
        <v>х</v>
      </c>
      <c r="BC21" s="5" t="str">
        <f t="shared" si="27"/>
        <v>нет</v>
      </c>
      <c r="BD21" s="5" t="str">
        <f t="shared" si="7"/>
        <v>х</v>
      </c>
      <c r="BE21" s="5" t="str">
        <f t="shared" si="7"/>
        <v>х</v>
      </c>
      <c r="BF21" s="5" t="str">
        <f t="shared" si="7"/>
        <v>х</v>
      </c>
      <c r="BG21" s="5" t="str">
        <f t="shared" si="7"/>
        <v>х</v>
      </c>
      <c r="BH21" s="5" t="str">
        <f t="shared" si="7"/>
        <v>х</v>
      </c>
      <c r="BI21" s="5" t="str">
        <f t="shared" si="7"/>
        <v>х</v>
      </c>
      <c r="BJ21" s="5" t="str">
        <f t="shared" si="28"/>
        <v>нет</v>
      </c>
      <c r="BK21" s="5" t="str">
        <f t="shared" si="8"/>
        <v>х</v>
      </c>
      <c r="BL21" s="5" t="str">
        <f t="shared" si="8"/>
        <v>х</v>
      </c>
      <c r="BM21" s="5" t="str">
        <f t="shared" si="8"/>
        <v>х</v>
      </c>
      <c r="BN21" s="5" t="str">
        <f t="shared" si="29"/>
        <v>нет</v>
      </c>
      <c r="BO21" s="5" t="str">
        <f t="shared" si="9"/>
        <v>х</v>
      </c>
      <c r="BP21" s="5" t="str">
        <f t="shared" si="9"/>
        <v>х</v>
      </c>
      <c r="BQ21" s="5" t="str">
        <f t="shared" si="9"/>
        <v>х</v>
      </c>
      <c r="BR21" s="5" t="str">
        <f>"1958"</f>
        <v>1958</v>
      </c>
      <c r="BS21" s="5" t="str">
        <f>"60,00"</f>
        <v>60,00</v>
      </c>
      <c r="BT21" s="5" t="str">
        <f>"2019"</f>
        <v>2019</v>
      </c>
      <c r="BU21" s="5" t="str">
        <f t="shared" si="10"/>
        <v>нет</v>
      </c>
      <c r="BV21" s="5" t="str">
        <f t="shared" si="11"/>
        <v>x</v>
      </c>
      <c r="BW21" s="5" t="str">
        <f t="shared" si="11"/>
        <v>x</v>
      </c>
      <c r="BX21" s="5" t="str">
        <f t="shared" si="11"/>
        <v>x</v>
      </c>
      <c r="BY21" s="5" t="str">
        <f t="shared" si="12"/>
        <v>нет</v>
      </c>
      <c r="BZ21" s="5" t="str">
        <f>"1958"</f>
        <v>1958</v>
      </c>
      <c r="CA21" s="5" t="str">
        <f>"61,00"</f>
        <v>61,00</v>
      </c>
      <c r="CB21" s="5" t="str">
        <f>"2019"</f>
        <v>2019</v>
      </c>
      <c r="CC21" s="5" t="str">
        <f>"1958"</f>
        <v>1958</v>
      </c>
      <c r="CD21" s="5" t="str">
        <f>"62,00"</f>
        <v>62,00</v>
      </c>
      <c r="CE21" s="5" t="str">
        <f>"2020"</f>
        <v>2020</v>
      </c>
      <c r="CF21" s="5" t="str">
        <f>"1958"</f>
        <v>1958</v>
      </c>
      <c r="CG21" s="5" t="str">
        <f>"65,00"</f>
        <v>65,00</v>
      </c>
      <c r="CH21" s="5" t="str">
        <f>"2020"</f>
        <v>2020</v>
      </c>
      <c r="CI21" s="5" t="str">
        <f>"64,00"</f>
        <v>64,00</v>
      </c>
      <c r="CJ21" s="5" t="str">
        <f>"2020"</f>
        <v>2020</v>
      </c>
    </row>
    <row r="22" spans="1:88" ht="11.25" customHeight="1">
      <c r="A22" s="3" t="str">
        <f>"1.9"</f>
        <v>1.9</v>
      </c>
      <c r="B22" s="4" t="str">
        <f>"г. Грязовец, пер. Северный 1-й, д.82"</f>
        <v>г. Грязовец, пер. Северный 1-й, д.82</v>
      </c>
      <c r="C22" s="7" t="str">
        <f>"1973"</f>
        <v>1973</v>
      </c>
      <c r="D22" s="5" t="str">
        <f>"1973"</f>
        <v>1973</v>
      </c>
      <c r="E22" s="5" t="str">
        <f>"43,00"</f>
        <v>43,00</v>
      </c>
      <c r="F22" s="5" t="str">
        <f>"2019"</f>
        <v>2019</v>
      </c>
      <c r="G22" s="5" t="str">
        <f t="shared" si="15"/>
        <v>нет</v>
      </c>
      <c r="H22" s="5" t="str">
        <f>""</f>
        <v/>
      </c>
      <c r="I22" s="5" t="str">
        <f>""</f>
        <v/>
      </c>
      <c r="J22" s="5" t="str">
        <f>""</f>
        <v/>
      </c>
      <c r="K22" s="5" t="str">
        <f t="shared" si="16"/>
        <v>нет</v>
      </c>
      <c r="L22" s="5" t="str">
        <f>""</f>
        <v/>
      </c>
      <c r="M22" s="5" t="str">
        <f>""</f>
        <v/>
      </c>
      <c r="N22" s="5" t="str">
        <f>""</f>
        <v/>
      </c>
      <c r="O22" s="8" t="str">
        <f>"1973"</f>
        <v>1973</v>
      </c>
      <c r="P22" s="5" t="str">
        <f>"24,50"</f>
        <v>24,50</v>
      </c>
      <c r="Q22" s="5" t="str">
        <f>"2025"</f>
        <v>2025</v>
      </c>
      <c r="R22" s="5" t="str">
        <f t="shared" si="18"/>
        <v>нет</v>
      </c>
      <c r="S22" s="5" t="str">
        <f>""</f>
        <v/>
      </c>
      <c r="T22" s="5" t="str">
        <f>""</f>
        <v/>
      </c>
      <c r="U22" s="5" t="str">
        <f>""</f>
        <v/>
      </c>
      <c r="V22" s="5" t="str">
        <f t="shared" si="20"/>
        <v>нет</v>
      </c>
      <c r="W22" s="5" t="str">
        <f>""</f>
        <v/>
      </c>
      <c r="X22" s="5" t="str">
        <f>""</f>
        <v/>
      </c>
      <c r="Y22" s="9" t="str">
        <f>""</f>
        <v/>
      </c>
      <c r="Z22" s="5" t="str">
        <f>"1973"</f>
        <v>1973</v>
      </c>
      <c r="AA22" s="5" t="str">
        <f>"21,00"</f>
        <v>21,00</v>
      </c>
      <c r="AB22" s="5" t="str">
        <f>"2024"</f>
        <v>2024</v>
      </c>
      <c r="AC22" s="5" t="str">
        <f t="shared" si="22"/>
        <v>нет</v>
      </c>
      <c r="AD22" s="5" t="str">
        <f>""</f>
        <v/>
      </c>
      <c r="AE22" s="5" t="str">
        <f>""</f>
        <v/>
      </c>
      <c r="AF22" s="5" t="str">
        <f>""</f>
        <v/>
      </c>
      <c r="AG22" s="5" t="str">
        <f t="shared" si="23"/>
        <v>нет</v>
      </c>
      <c r="AH22" s="5" t="str">
        <f>""</f>
        <v/>
      </c>
      <c r="AI22" s="5" t="str">
        <f>""</f>
        <v/>
      </c>
      <c r="AJ22" s="5" t="str">
        <f>""</f>
        <v/>
      </c>
      <c r="AK22" s="8" t="str">
        <f>"1973"</f>
        <v>1973</v>
      </c>
      <c r="AL22" s="5" t="str">
        <f>"22,00"</f>
        <v>22,00</v>
      </c>
      <c r="AM22" s="5" t="str">
        <f>"2024"</f>
        <v>2024</v>
      </c>
      <c r="AN22" s="5" t="str">
        <f t="shared" si="24"/>
        <v>нет</v>
      </c>
      <c r="AO22" s="5" t="str">
        <f>""</f>
        <v/>
      </c>
      <c r="AP22" s="5" t="str">
        <f>""</f>
        <v/>
      </c>
      <c r="AQ22" s="5" t="str">
        <f>""</f>
        <v/>
      </c>
      <c r="AR22" s="5" t="str">
        <f t="shared" si="25"/>
        <v>нет</v>
      </c>
      <c r="AS22" s="5" t="str">
        <f>""</f>
        <v/>
      </c>
      <c r="AT22" s="5" t="str">
        <f>""</f>
        <v/>
      </c>
      <c r="AU22" s="5" t="str">
        <f>""</f>
        <v/>
      </c>
      <c r="AV22" s="5" t="str">
        <f>"1973"</f>
        <v>1973</v>
      </c>
      <c r="AW22" s="5" t="str">
        <f>"23,00"</f>
        <v>23,00</v>
      </c>
      <c r="AX22" s="5" t="str">
        <f>"2023"</f>
        <v>2023</v>
      </c>
      <c r="AY22" s="5" t="str">
        <f t="shared" si="26"/>
        <v>нет</v>
      </c>
      <c r="AZ22" s="5" t="str">
        <f>""</f>
        <v/>
      </c>
      <c r="BA22" s="5" t="str">
        <f>""</f>
        <v/>
      </c>
      <c r="BB22" s="5" t="str">
        <f>""</f>
        <v/>
      </c>
      <c r="BC22" s="5" t="str">
        <f t="shared" si="27"/>
        <v>нет</v>
      </c>
      <c r="BD22" s="5" t="str">
        <f>""</f>
        <v/>
      </c>
      <c r="BE22" s="5" t="str">
        <f>""</f>
        <v/>
      </c>
      <c r="BF22" s="5" t="str">
        <f>""</f>
        <v/>
      </c>
      <c r="BG22" s="5" t="str">
        <f>"1973"</f>
        <v>1973</v>
      </c>
      <c r="BH22" s="5" t="str">
        <f>"25,00"</f>
        <v>25,00</v>
      </c>
      <c r="BI22" s="5" t="str">
        <f>"2021"</f>
        <v>2021</v>
      </c>
      <c r="BJ22" s="5" t="str">
        <f t="shared" si="28"/>
        <v>нет</v>
      </c>
      <c r="BK22" s="5" t="str">
        <f>""</f>
        <v/>
      </c>
      <c r="BL22" s="5" t="str">
        <f>""</f>
        <v/>
      </c>
      <c r="BM22" s="5" t="str">
        <f>""</f>
        <v/>
      </c>
      <c r="BN22" s="5" t="str">
        <f t="shared" si="29"/>
        <v>нет</v>
      </c>
      <c r="BO22" s="5" t="str">
        <f>""</f>
        <v/>
      </c>
      <c r="BP22" s="5" t="str">
        <f>""</f>
        <v/>
      </c>
      <c r="BQ22" s="5" t="str">
        <f>""</f>
        <v/>
      </c>
      <c r="BR22" s="5" t="str">
        <f>"1973"</f>
        <v>1973</v>
      </c>
      <c r="BS22" s="5" t="str">
        <f>"24,00"</f>
        <v>24,00</v>
      </c>
      <c r="BT22" s="5" t="str">
        <f>"2022"</f>
        <v>2022</v>
      </c>
      <c r="BU22" s="5" t="str">
        <f t="shared" si="10"/>
        <v>нет</v>
      </c>
      <c r="BV22" s="5" t="str">
        <f t="shared" si="11"/>
        <v>x</v>
      </c>
      <c r="BW22" s="5" t="str">
        <f t="shared" si="11"/>
        <v>x</v>
      </c>
      <c r="BX22" s="5" t="str">
        <f t="shared" si="11"/>
        <v>x</v>
      </c>
      <c r="BY22" s="5" t="str">
        <f t="shared" si="12"/>
        <v>нет</v>
      </c>
      <c r="BZ22" s="5" t="str">
        <f>"x"</f>
        <v>x</v>
      </c>
      <c r="CA22" s="5" t="str">
        <f>"x"</f>
        <v>x</v>
      </c>
      <c r="CB22" s="5" t="str">
        <f>"x"</f>
        <v>x</v>
      </c>
      <c r="CC22" s="5" t="str">
        <f>"1973"</f>
        <v>1973</v>
      </c>
      <c r="CD22" s="5" t="str">
        <f>"29,00"</f>
        <v>29,00</v>
      </c>
      <c r="CE22" s="5" t="str">
        <f>"2020"</f>
        <v>2020</v>
      </c>
      <c r="CF22" s="5" t="str">
        <f>"1973"</f>
        <v>1973</v>
      </c>
      <c r="CG22" s="5" t="str">
        <f>"29,00"</f>
        <v>29,00</v>
      </c>
      <c r="CH22" s="5" t="str">
        <f>"2019"</f>
        <v>2019</v>
      </c>
      <c r="CI22" s="5" t="str">
        <f>"29,00"</f>
        <v>29,00</v>
      </c>
      <c r="CJ22" s="5" t="str">
        <f>"2026"</f>
        <v>2026</v>
      </c>
    </row>
    <row r="23" spans="1:88" ht="11.25" customHeight="1">
      <c r="A23" s="3" t="str">
        <f>"1.10"</f>
        <v>1.10</v>
      </c>
      <c r="B23" s="4" t="str">
        <f>"г. Грязовец, пер. Северный 1-й, д.83"</f>
        <v>г. Грязовец, пер. Северный 1-й, д.83</v>
      </c>
      <c r="C23" s="7" t="str">
        <f>"1988"</f>
        <v>1988</v>
      </c>
      <c r="D23" s="5" t="str">
        <f>"1988"</f>
        <v>1988</v>
      </c>
      <c r="E23" s="5" t="str">
        <f>"7,00"</f>
        <v>7,00</v>
      </c>
      <c r="F23" s="5" t="str">
        <f>"2028"</f>
        <v>2028</v>
      </c>
      <c r="G23" s="5" t="str">
        <f t="shared" si="15"/>
        <v>нет</v>
      </c>
      <c r="H23" s="5" t="str">
        <f>""</f>
        <v/>
      </c>
      <c r="I23" s="5" t="str">
        <f>""</f>
        <v/>
      </c>
      <c r="J23" s="5" t="str">
        <f>""</f>
        <v/>
      </c>
      <c r="K23" s="5" t="str">
        <f t="shared" si="16"/>
        <v>нет</v>
      </c>
      <c r="L23" s="5" t="str">
        <f>""</f>
        <v/>
      </c>
      <c r="M23" s="5" t="str">
        <f>""</f>
        <v/>
      </c>
      <c r="N23" s="5" t="str">
        <f>""</f>
        <v/>
      </c>
      <c r="O23" s="8" t="str">
        <f>"1988"</f>
        <v>1988</v>
      </c>
      <c r="P23" s="5" t="str">
        <f>"6,00"</f>
        <v>6,00</v>
      </c>
      <c r="Q23" s="5" t="str">
        <f>"2029"</f>
        <v>2029</v>
      </c>
      <c r="R23" s="5" t="str">
        <f t="shared" si="18"/>
        <v>нет</v>
      </c>
      <c r="S23" s="5" t="str">
        <f t="shared" ref="S23:U25" si="30">"х"</f>
        <v>х</v>
      </c>
      <c r="T23" s="5" t="str">
        <f t="shared" si="30"/>
        <v>х</v>
      </c>
      <c r="U23" s="5" t="str">
        <f t="shared" si="30"/>
        <v>х</v>
      </c>
      <c r="V23" s="5" t="str">
        <f t="shared" si="20"/>
        <v>нет</v>
      </c>
      <c r="W23" s="5" t="str">
        <f t="shared" ref="W23:Y25" si="31">"х"</f>
        <v>х</v>
      </c>
      <c r="X23" s="5" t="str">
        <f t="shared" si="31"/>
        <v>х</v>
      </c>
      <c r="Y23" s="9" t="str">
        <f t="shared" si="31"/>
        <v>х</v>
      </c>
      <c r="Z23" s="5" t="str">
        <f>"1988"</f>
        <v>1988</v>
      </c>
      <c r="AA23" s="5" t="str">
        <f>"6,00"</f>
        <v>6,00</v>
      </c>
      <c r="AB23" s="5" t="str">
        <f>"2029"</f>
        <v>2029</v>
      </c>
      <c r="AC23" s="5" t="str">
        <f t="shared" si="22"/>
        <v>нет</v>
      </c>
      <c r="AD23" s="5" t="str">
        <f>""</f>
        <v/>
      </c>
      <c r="AE23" s="5" t="str">
        <f>""</f>
        <v/>
      </c>
      <c r="AF23" s="5" t="str">
        <f>""</f>
        <v/>
      </c>
      <c r="AG23" s="5" t="str">
        <f t="shared" si="23"/>
        <v>нет</v>
      </c>
      <c r="AH23" s="5" t="str">
        <f>""</f>
        <v/>
      </c>
      <c r="AI23" s="5" t="str">
        <f>""</f>
        <v/>
      </c>
      <c r="AJ23" s="5" t="str">
        <f>""</f>
        <v/>
      </c>
      <c r="AK23" s="8" t="str">
        <f>"1988"</f>
        <v>1988</v>
      </c>
      <c r="AL23" s="5" t="str">
        <f>"6,50"</f>
        <v>6,50</v>
      </c>
      <c r="AM23" s="5" t="str">
        <f>"2028"</f>
        <v>2028</v>
      </c>
      <c r="AN23" s="5" t="str">
        <f t="shared" si="24"/>
        <v>нет</v>
      </c>
      <c r="AO23" s="5" t="str">
        <f t="shared" ref="AO23:AQ25" si="32">"х"</f>
        <v>х</v>
      </c>
      <c r="AP23" s="5" t="str">
        <f t="shared" si="32"/>
        <v>х</v>
      </c>
      <c r="AQ23" s="5" t="str">
        <f t="shared" si="32"/>
        <v>х</v>
      </c>
      <c r="AR23" s="5" t="str">
        <f t="shared" si="25"/>
        <v>нет</v>
      </c>
      <c r="AS23" s="5" t="str">
        <f t="shared" ref="AS23:AU25" si="33">"х"</f>
        <v>х</v>
      </c>
      <c r="AT23" s="5" t="str">
        <f t="shared" si="33"/>
        <v>х</v>
      </c>
      <c r="AU23" s="5" t="str">
        <f t="shared" si="33"/>
        <v>х</v>
      </c>
      <c r="AV23" s="5" t="str">
        <f>"1988"</f>
        <v>1988</v>
      </c>
      <c r="AW23" s="5" t="str">
        <f>"7,00"</f>
        <v>7,00</v>
      </c>
      <c r="AX23" s="5" t="str">
        <f>"2026"</f>
        <v>2026</v>
      </c>
      <c r="AY23" s="5" t="str">
        <f t="shared" si="26"/>
        <v>нет</v>
      </c>
      <c r="AZ23" s="5" t="str">
        <f t="shared" ref="AZ23:BB25" si="34">"х"</f>
        <v>х</v>
      </c>
      <c r="BA23" s="5" t="str">
        <f t="shared" si="34"/>
        <v>х</v>
      </c>
      <c r="BB23" s="5" t="str">
        <f t="shared" si="34"/>
        <v>х</v>
      </c>
      <c r="BC23" s="5" t="str">
        <f t="shared" si="27"/>
        <v>нет</v>
      </c>
      <c r="BD23" s="5" t="str">
        <f t="shared" ref="BD23:BF25" si="35">"х"</f>
        <v>х</v>
      </c>
      <c r="BE23" s="5" t="str">
        <f t="shared" si="35"/>
        <v>х</v>
      </c>
      <c r="BF23" s="5" t="str">
        <f t="shared" si="35"/>
        <v>х</v>
      </c>
      <c r="BG23" s="5" t="str">
        <f>"1988"</f>
        <v>1988</v>
      </c>
      <c r="BH23" s="5" t="str">
        <f>"11,00"</f>
        <v>11,00</v>
      </c>
      <c r="BI23" s="5" t="str">
        <f>"2021"</f>
        <v>2021</v>
      </c>
      <c r="BJ23" s="5" t="str">
        <f t="shared" si="28"/>
        <v>нет</v>
      </c>
      <c r="BK23" s="5" t="str">
        <f t="shared" ref="BK23:BM25" si="36">"х"</f>
        <v>х</v>
      </c>
      <c r="BL23" s="5" t="str">
        <f t="shared" si="36"/>
        <v>х</v>
      </c>
      <c r="BM23" s="5" t="str">
        <f t="shared" si="36"/>
        <v>х</v>
      </c>
      <c r="BN23" s="5" t="str">
        <f t="shared" si="29"/>
        <v>нет</v>
      </c>
      <c r="BO23" s="5" t="str">
        <f t="shared" ref="BO23:BQ25" si="37">"х"</f>
        <v>х</v>
      </c>
      <c r="BP23" s="5" t="str">
        <f t="shared" si="37"/>
        <v>х</v>
      </c>
      <c r="BQ23" s="5" t="str">
        <f t="shared" si="37"/>
        <v>х</v>
      </c>
      <c r="BR23" s="5" t="str">
        <f>"1988"</f>
        <v>1988</v>
      </c>
      <c r="BS23" s="5" t="str">
        <f>"12,00"</f>
        <v>12,00</v>
      </c>
      <c r="BT23" s="5" t="str">
        <f>"2027"</f>
        <v>2027</v>
      </c>
      <c r="BU23" s="5" t="str">
        <f t="shared" si="10"/>
        <v>нет</v>
      </c>
      <c r="BV23" s="5" t="str">
        <f t="shared" si="11"/>
        <v>x</v>
      </c>
      <c r="BW23" s="5" t="str">
        <f t="shared" si="11"/>
        <v>x</v>
      </c>
      <c r="BX23" s="5" t="str">
        <f t="shared" si="11"/>
        <v>x</v>
      </c>
      <c r="BY23" s="5" t="str">
        <f t="shared" si="12"/>
        <v>нет</v>
      </c>
      <c r="BZ23" s="5" t="str">
        <f>"1988"</f>
        <v>1988</v>
      </c>
      <c r="CA23" s="5" t="str">
        <f>"11,50"</f>
        <v>11,50</v>
      </c>
      <c r="CB23" s="5" t="str">
        <f>"2026"</f>
        <v>2026</v>
      </c>
      <c r="CC23" s="5" t="str">
        <f>"1988"</f>
        <v>1988</v>
      </c>
      <c r="CD23" s="5" t="str">
        <f>"3,00"</f>
        <v>3,00</v>
      </c>
      <c r="CE23" s="5" t="str">
        <f>"2028"</f>
        <v>2028</v>
      </c>
      <c r="CF23" s="5" t="str">
        <f>"1988"</f>
        <v>1988</v>
      </c>
      <c r="CG23" s="5" t="str">
        <f>"12,00"</f>
        <v>12,00</v>
      </c>
      <c r="CH23" s="5" t="str">
        <f>"2019"</f>
        <v>2019</v>
      </c>
      <c r="CI23" s="5" t="str">
        <f>"12,00"</f>
        <v>12,00</v>
      </c>
      <c r="CJ23" s="5" t="str">
        <f>"2039"</f>
        <v>2039</v>
      </c>
    </row>
    <row r="24" spans="1:88" ht="11.25" customHeight="1">
      <c r="A24" s="3" t="str">
        <f>"1.11"</f>
        <v>1.11</v>
      </c>
      <c r="B24" s="4" t="str">
        <f>"г. Грязовец, пер. Северный 1-й, д.84"</f>
        <v>г. Грязовец, пер. Северный 1-й, д.84</v>
      </c>
      <c r="C24" s="7" t="str">
        <f>"1968"</f>
        <v>1968</v>
      </c>
      <c r="D24" s="5" t="str">
        <f>"1968"</f>
        <v>1968</v>
      </c>
      <c r="E24" s="5" t="str">
        <f>"38,00"</f>
        <v>38,00</v>
      </c>
      <c r="F24" s="5" t="str">
        <f>"2021"</f>
        <v>2021</v>
      </c>
      <c r="G24" s="5" t="str">
        <f t="shared" si="15"/>
        <v>нет</v>
      </c>
      <c r="H24" s="5" t="str">
        <f>""</f>
        <v/>
      </c>
      <c r="I24" s="5" t="str">
        <f>""</f>
        <v/>
      </c>
      <c r="J24" s="5" t="str">
        <f>""</f>
        <v/>
      </c>
      <c r="K24" s="5" t="str">
        <f t="shared" si="16"/>
        <v>нет</v>
      </c>
      <c r="L24" s="5" t="str">
        <f>""</f>
        <v/>
      </c>
      <c r="M24" s="5" t="str">
        <f>""</f>
        <v/>
      </c>
      <c r="N24" s="5" t="str">
        <f>""</f>
        <v/>
      </c>
      <c r="O24" s="8" t="str">
        <f>"1968"</f>
        <v>1968</v>
      </c>
      <c r="P24" s="5" t="str">
        <f>"35,00"</f>
        <v>35,00</v>
      </c>
      <c r="Q24" s="5" t="str">
        <f>"2022"</f>
        <v>2022</v>
      </c>
      <c r="R24" s="5" t="str">
        <f t="shared" si="18"/>
        <v>нет</v>
      </c>
      <c r="S24" s="5" t="str">
        <f t="shared" si="30"/>
        <v>х</v>
      </c>
      <c r="T24" s="5" t="str">
        <f t="shared" si="30"/>
        <v>х</v>
      </c>
      <c r="U24" s="5" t="str">
        <f t="shared" si="30"/>
        <v>х</v>
      </c>
      <c r="V24" s="5" t="str">
        <f t="shared" si="20"/>
        <v>нет</v>
      </c>
      <c r="W24" s="5" t="str">
        <f t="shared" si="31"/>
        <v>х</v>
      </c>
      <c r="X24" s="5" t="str">
        <f t="shared" si="31"/>
        <v>х</v>
      </c>
      <c r="Y24" s="9" t="str">
        <f t="shared" si="31"/>
        <v>х</v>
      </c>
      <c r="Z24" s="5" t="str">
        <f>"1968"</f>
        <v>1968</v>
      </c>
      <c r="AA24" s="5" t="str">
        <f>"36,00"</f>
        <v>36,00</v>
      </c>
      <c r="AB24" s="5" t="str">
        <f>"2023"</f>
        <v>2023</v>
      </c>
      <c r="AC24" s="5" t="str">
        <f t="shared" si="22"/>
        <v>нет</v>
      </c>
      <c r="AD24" s="5" t="str">
        <f>""</f>
        <v/>
      </c>
      <c r="AE24" s="5" t="str">
        <f>""</f>
        <v/>
      </c>
      <c r="AF24" s="5" t="str">
        <f>""</f>
        <v/>
      </c>
      <c r="AG24" s="5" t="str">
        <f t="shared" si="23"/>
        <v>нет</v>
      </c>
      <c r="AH24" s="5" t="str">
        <f>""</f>
        <v/>
      </c>
      <c r="AI24" s="5" t="str">
        <f>""</f>
        <v/>
      </c>
      <c r="AJ24" s="5" t="str">
        <f>""</f>
        <v/>
      </c>
      <c r="AK24" s="8" t="str">
        <f>"1968"</f>
        <v>1968</v>
      </c>
      <c r="AL24" s="5" t="str">
        <f>"38,00"</f>
        <v>38,00</v>
      </c>
      <c r="AM24" s="5" t="str">
        <f>"2021"</f>
        <v>2021</v>
      </c>
      <c r="AN24" s="5" t="str">
        <f t="shared" si="24"/>
        <v>нет</v>
      </c>
      <c r="AO24" s="5" t="str">
        <f t="shared" si="32"/>
        <v>х</v>
      </c>
      <c r="AP24" s="5" t="str">
        <f t="shared" si="32"/>
        <v>х</v>
      </c>
      <c r="AQ24" s="5" t="str">
        <f t="shared" si="32"/>
        <v>х</v>
      </c>
      <c r="AR24" s="5" t="str">
        <f t="shared" si="25"/>
        <v>нет</v>
      </c>
      <c r="AS24" s="5" t="str">
        <f t="shared" si="33"/>
        <v>х</v>
      </c>
      <c r="AT24" s="5" t="str">
        <f t="shared" si="33"/>
        <v>х</v>
      </c>
      <c r="AU24" s="5" t="str">
        <f t="shared" si="33"/>
        <v>х</v>
      </c>
      <c r="AV24" s="5" t="str">
        <f>"1968"</f>
        <v>1968</v>
      </c>
      <c r="AW24" s="5" t="str">
        <f>"48,00"</f>
        <v>48,00</v>
      </c>
      <c r="AX24" s="5" t="str">
        <f>"2019"</f>
        <v>2019</v>
      </c>
      <c r="AY24" s="5" t="str">
        <f t="shared" si="26"/>
        <v>нет</v>
      </c>
      <c r="AZ24" s="5" t="str">
        <f t="shared" si="34"/>
        <v>х</v>
      </c>
      <c r="BA24" s="5" t="str">
        <f t="shared" si="34"/>
        <v>х</v>
      </c>
      <c r="BB24" s="5" t="str">
        <f t="shared" si="34"/>
        <v>х</v>
      </c>
      <c r="BC24" s="5" t="str">
        <f t="shared" si="27"/>
        <v>нет</v>
      </c>
      <c r="BD24" s="5" t="str">
        <f t="shared" si="35"/>
        <v>х</v>
      </c>
      <c r="BE24" s="5" t="str">
        <f t="shared" si="35"/>
        <v>х</v>
      </c>
      <c r="BF24" s="5" t="str">
        <f t="shared" si="35"/>
        <v>х</v>
      </c>
      <c r="BG24" s="5" t="str">
        <f>"1968"</f>
        <v>1968</v>
      </c>
      <c r="BH24" s="5" t="str">
        <f>"42,00"</f>
        <v>42,00</v>
      </c>
      <c r="BI24" s="5" t="str">
        <f>"2022"</f>
        <v>2022</v>
      </c>
      <c r="BJ24" s="5" t="str">
        <f t="shared" si="28"/>
        <v>нет</v>
      </c>
      <c r="BK24" s="5" t="str">
        <f t="shared" si="36"/>
        <v>х</v>
      </c>
      <c r="BL24" s="5" t="str">
        <f t="shared" si="36"/>
        <v>х</v>
      </c>
      <c r="BM24" s="5" t="str">
        <f t="shared" si="36"/>
        <v>х</v>
      </c>
      <c r="BN24" s="5" t="str">
        <f t="shared" si="29"/>
        <v>нет</v>
      </c>
      <c r="BO24" s="5" t="str">
        <f t="shared" si="37"/>
        <v>х</v>
      </c>
      <c r="BP24" s="5" t="str">
        <f t="shared" si="37"/>
        <v>х</v>
      </c>
      <c r="BQ24" s="5" t="str">
        <f t="shared" si="37"/>
        <v>х</v>
      </c>
      <c r="BR24" s="5" t="str">
        <f>"1968"</f>
        <v>1968</v>
      </c>
      <c r="BS24" s="5" t="str">
        <f>"49,00"</f>
        <v>49,00</v>
      </c>
      <c r="BT24" s="5" t="str">
        <f>"2022"</f>
        <v>2022</v>
      </c>
      <c r="BU24" s="5" t="str">
        <f t="shared" si="10"/>
        <v>нет</v>
      </c>
      <c r="BV24" s="5" t="str">
        <f t="shared" si="11"/>
        <v>x</v>
      </c>
      <c r="BW24" s="5" t="str">
        <f t="shared" si="11"/>
        <v>x</v>
      </c>
      <c r="BX24" s="5" t="str">
        <f t="shared" si="11"/>
        <v>x</v>
      </c>
      <c r="BY24" s="5" t="str">
        <f t="shared" si="12"/>
        <v>нет</v>
      </c>
      <c r="BZ24" s="5" t="str">
        <f>"1968"</f>
        <v>1968</v>
      </c>
      <c r="CA24" s="5" t="str">
        <f>"50,00"</f>
        <v>50,00</v>
      </c>
      <c r="CB24" s="5" t="str">
        <f>"2021"</f>
        <v>2021</v>
      </c>
      <c r="CC24" s="5" t="str">
        <f>"1968"</f>
        <v>1968</v>
      </c>
      <c r="CD24" s="5" t="str">
        <f>"49,00"</f>
        <v>49,00</v>
      </c>
      <c r="CE24" s="5" t="str">
        <f>"2020"</f>
        <v>2020</v>
      </c>
      <c r="CF24" s="5" t="str">
        <f>"1968"</f>
        <v>1968</v>
      </c>
      <c r="CG24" s="5" t="str">
        <f>"50,00"</f>
        <v>50,00</v>
      </c>
      <c r="CH24" s="5" t="str">
        <f>"2019"</f>
        <v>2019</v>
      </c>
      <c r="CI24" s="5" t="str">
        <f>"50,00"</f>
        <v>50,00</v>
      </c>
      <c r="CJ24" s="5" t="str">
        <f>"2023"</f>
        <v>2023</v>
      </c>
    </row>
    <row r="25" spans="1:88" ht="11.25" customHeight="1">
      <c r="A25" s="3" t="str">
        <f>"1.12"</f>
        <v>1.12</v>
      </c>
      <c r="B25" s="4" t="str">
        <f>"г. Грязовец, пер. Северный 1-й, д.85"</f>
        <v>г. Грязовец, пер. Северный 1-й, д.85</v>
      </c>
      <c r="C25" s="7" t="str">
        <f>"1988"</f>
        <v>1988</v>
      </c>
      <c r="D25" s="5" t="str">
        <f>"1988"</f>
        <v>1988</v>
      </c>
      <c r="E25" s="5" t="str">
        <f>"9,00"</f>
        <v>9,00</v>
      </c>
      <c r="F25" s="5" t="str">
        <f>"2027"</f>
        <v>2027</v>
      </c>
      <c r="G25" s="5" t="str">
        <f t="shared" si="15"/>
        <v>нет</v>
      </c>
      <c r="H25" s="5" t="str">
        <f>""</f>
        <v/>
      </c>
      <c r="I25" s="5" t="str">
        <f>""</f>
        <v/>
      </c>
      <c r="J25" s="5" t="str">
        <f>""</f>
        <v/>
      </c>
      <c r="K25" s="5" t="str">
        <f t="shared" si="16"/>
        <v>нет</v>
      </c>
      <c r="L25" s="5" t="str">
        <f>""</f>
        <v/>
      </c>
      <c r="M25" s="5" t="str">
        <f>""</f>
        <v/>
      </c>
      <c r="N25" s="5" t="str">
        <f>""</f>
        <v/>
      </c>
      <c r="O25" s="8" t="str">
        <f>"1988"</f>
        <v>1988</v>
      </c>
      <c r="P25" s="5" t="str">
        <f>"10,00"</f>
        <v>10,00</v>
      </c>
      <c r="Q25" s="5" t="str">
        <f>"2028"</f>
        <v>2028</v>
      </c>
      <c r="R25" s="5" t="str">
        <f t="shared" si="18"/>
        <v>нет</v>
      </c>
      <c r="S25" s="5" t="str">
        <f t="shared" si="30"/>
        <v>х</v>
      </c>
      <c r="T25" s="5" t="str">
        <f t="shared" si="30"/>
        <v>х</v>
      </c>
      <c r="U25" s="5" t="str">
        <f t="shared" si="30"/>
        <v>х</v>
      </c>
      <c r="V25" s="5" t="str">
        <f t="shared" si="20"/>
        <v>нет</v>
      </c>
      <c r="W25" s="5" t="str">
        <f t="shared" si="31"/>
        <v>х</v>
      </c>
      <c r="X25" s="5" t="str">
        <f t="shared" si="31"/>
        <v>х</v>
      </c>
      <c r="Y25" s="9" t="str">
        <f t="shared" si="31"/>
        <v>х</v>
      </c>
      <c r="Z25" s="5" t="str">
        <f>"1988"</f>
        <v>1988</v>
      </c>
      <c r="AA25" s="5" t="str">
        <f>"8,00"</f>
        <v>8,00</v>
      </c>
      <c r="AB25" s="5" t="str">
        <f>"2028"</f>
        <v>2028</v>
      </c>
      <c r="AC25" s="5" t="str">
        <f t="shared" si="22"/>
        <v>нет</v>
      </c>
      <c r="AD25" s="5" t="str">
        <f>""</f>
        <v/>
      </c>
      <c r="AE25" s="5" t="str">
        <f>""</f>
        <v/>
      </c>
      <c r="AF25" s="5" t="str">
        <f>""</f>
        <v/>
      </c>
      <c r="AG25" s="5" t="str">
        <f t="shared" si="23"/>
        <v>нет</v>
      </c>
      <c r="AH25" s="5" t="str">
        <f>""</f>
        <v/>
      </c>
      <c r="AI25" s="5" t="str">
        <f>""</f>
        <v/>
      </c>
      <c r="AJ25" s="5" t="str">
        <f>""</f>
        <v/>
      </c>
      <c r="AK25" s="8" t="str">
        <f>"1988"</f>
        <v>1988</v>
      </c>
      <c r="AL25" s="5" t="str">
        <f>"9,00"</f>
        <v>9,00</v>
      </c>
      <c r="AM25" s="5" t="str">
        <f>"2034"</f>
        <v>2034</v>
      </c>
      <c r="AN25" s="5" t="str">
        <f t="shared" si="24"/>
        <v>нет</v>
      </c>
      <c r="AO25" s="5" t="str">
        <f t="shared" si="32"/>
        <v>х</v>
      </c>
      <c r="AP25" s="5" t="str">
        <f t="shared" si="32"/>
        <v>х</v>
      </c>
      <c r="AQ25" s="5" t="str">
        <f t="shared" si="32"/>
        <v>х</v>
      </c>
      <c r="AR25" s="5" t="str">
        <f t="shared" si="25"/>
        <v>нет</v>
      </c>
      <c r="AS25" s="5" t="str">
        <f t="shared" si="33"/>
        <v>х</v>
      </c>
      <c r="AT25" s="5" t="str">
        <f t="shared" si="33"/>
        <v>х</v>
      </c>
      <c r="AU25" s="5" t="str">
        <f t="shared" si="33"/>
        <v>х</v>
      </c>
      <c r="AV25" s="5" t="str">
        <f>"1988"</f>
        <v>1988</v>
      </c>
      <c r="AW25" s="5" t="str">
        <f>"9,00"</f>
        <v>9,00</v>
      </c>
      <c r="AX25" s="5" t="str">
        <f>"2027"</f>
        <v>2027</v>
      </c>
      <c r="AY25" s="5" t="str">
        <f t="shared" si="26"/>
        <v>нет</v>
      </c>
      <c r="AZ25" s="5" t="str">
        <f t="shared" si="34"/>
        <v>х</v>
      </c>
      <c r="BA25" s="5" t="str">
        <f t="shared" si="34"/>
        <v>х</v>
      </c>
      <c r="BB25" s="5" t="str">
        <f t="shared" si="34"/>
        <v>х</v>
      </c>
      <c r="BC25" s="5" t="str">
        <f t="shared" si="27"/>
        <v>нет</v>
      </c>
      <c r="BD25" s="5" t="str">
        <f t="shared" si="35"/>
        <v>х</v>
      </c>
      <c r="BE25" s="5" t="str">
        <f t="shared" si="35"/>
        <v>х</v>
      </c>
      <c r="BF25" s="5" t="str">
        <f t="shared" si="35"/>
        <v>х</v>
      </c>
      <c r="BG25" s="5" t="str">
        <f>"1988"</f>
        <v>1988</v>
      </c>
      <c r="BH25" s="5" t="str">
        <f>"11,00"</f>
        <v>11,00</v>
      </c>
      <c r="BI25" s="5" t="str">
        <f>"2026"</f>
        <v>2026</v>
      </c>
      <c r="BJ25" s="5" t="str">
        <f t="shared" si="28"/>
        <v>нет</v>
      </c>
      <c r="BK25" s="5" t="str">
        <f t="shared" si="36"/>
        <v>х</v>
      </c>
      <c r="BL25" s="5" t="str">
        <f t="shared" si="36"/>
        <v>х</v>
      </c>
      <c r="BM25" s="5" t="str">
        <f t="shared" si="36"/>
        <v>х</v>
      </c>
      <c r="BN25" s="5" t="str">
        <f t="shared" si="29"/>
        <v>нет</v>
      </c>
      <c r="BO25" s="5" t="str">
        <f t="shared" si="37"/>
        <v>х</v>
      </c>
      <c r="BP25" s="5" t="str">
        <f t="shared" si="37"/>
        <v>х</v>
      </c>
      <c r="BQ25" s="5" t="str">
        <f t="shared" si="37"/>
        <v>х</v>
      </c>
      <c r="BR25" s="5" t="str">
        <f>"1988"</f>
        <v>1988</v>
      </c>
      <c r="BS25" s="5" t="str">
        <f>"12,00"</f>
        <v>12,00</v>
      </c>
      <c r="BT25" s="5" t="str">
        <f>"2026"</f>
        <v>2026</v>
      </c>
      <c r="BU25" s="5" t="str">
        <f t="shared" si="10"/>
        <v>нет</v>
      </c>
      <c r="BV25" s="5" t="str">
        <f t="shared" si="11"/>
        <v>x</v>
      </c>
      <c r="BW25" s="5" t="str">
        <f t="shared" si="11"/>
        <v>x</v>
      </c>
      <c r="BX25" s="5" t="str">
        <f t="shared" si="11"/>
        <v>x</v>
      </c>
      <c r="BY25" s="5" t="str">
        <f t="shared" si="12"/>
        <v>нет</v>
      </c>
      <c r="BZ25" s="5" t="str">
        <f>"1988"</f>
        <v>1988</v>
      </c>
      <c r="CA25" s="5" t="str">
        <f>"14,00"</f>
        <v>14,00</v>
      </c>
      <c r="CB25" s="5" t="str">
        <f>"2027"</f>
        <v>2027</v>
      </c>
      <c r="CC25" s="5" t="str">
        <f>"1988"</f>
        <v>1988</v>
      </c>
      <c r="CD25" s="5" t="str">
        <f>"13,00"</f>
        <v>13,00</v>
      </c>
      <c r="CE25" s="5" t="str">
        <f>"2027"</f>
        <v>2027</v>
      </c>
      <c r="CF25" s="5" t="str">
        <f>"1988"</f>
        <v>1988</v>
      </c>
      <c r="CG25" s="5" t="str">
        <f>"14,00"</f>
        <v>14,00</v>
      </c>
      <c r="CH25" s="5" t="str">
        <f>"2026"</f>
        <v>2026</v>
      </c>
      <c r="CI25" s="5" t="str">
        <f>"13,00"</f>
        <v>13,00</v>
      </c>
      <c r="CJ25" s="5" t="str">
        <f>"2033"</f>
        <v>2033</v>
      </c>
    </row>
    <row r="26" spans="1:88" ht="11.25" customHeight="1">
      <c r="A26" s="3" t="str">
        <f>"1.13"</f>
        <v>1.13</v>
      </c>
      <c r="B26" s="4" t="str">
        <f>"г. Грязовец, пер. Северный 1-й, д.86"</f>
        <v>г. Грязовец, пер. Северный 1-й, д.86</v>
      </c>
      <c r="C26" s="7" t="str">
        <f>"1974"</f>
        <v>1974</v>
      </c>
      <c r="D26" s="5" t="str">
        <f>"1974"</f>
        <v>1974</v>
      </c>
      <c r="E26" s="5" t="str">
        <f>"30,00"</f>
        <v>30,00</v>
      </c>
      <c r="F26" s="5" t="str">
        <f>"2031"</f>
        <v>2031</v>
      </c>
      <c r="G26" s="5" t="str">
        <f>"да"</f>
        <v>да</v>
      </c>
      <c r="H26" s="5" t="str">
        <f>""</f>
        <v/>
      </c>
      <c r="I26" s="5" t="str">
        <f>"30,00"</f>
        <v>30,00</v>
      </c>
      <c r="J26" s="5" t="str">
        <f>"2031"</f>
        <v>2031</v>
      </c>
      <c r="K26" s="5" t="str">
        <f t="shared" si="16"/>
        <v>нет</v>
      </c>
      <c r="L26" s="5" t="str">
        <f>""</f>
        <v/>
      </c>
      <c r="M26" s="5" t="str">
        <f>""</f>
        <v/>
      </c>
      <c r="N26" s="5" t="str">
        <f>""</f>
        <v/>
      </c>
      <c r="O26" s="8" t="str">
        <f>"1974"</f>
        <v>1974</v>
      </c>
      <c r="P26" s="5" t="str">
        <f>"32,00"</f>
        <v>32,00</v>
      </c>
      <c r="Q26" s="5" t="str">
        <f>"2025"</f>
        <v>2025</v>
      </c>
      <c r="R26" s="5" t="str">
        <f t="shared" si="18"/>
        <v>нет</v>
      </c>
      <c r="S26" s="5" t="str">
        <f>""</f>
        <v/>
      </c>
      <c r="T26" s="5" t="str">
        <f>""</f>
        <v/>
      </c>
      <c r="U26" s="5" t="str">
        <f>""</f>
        <v/>
      </c>
      <c r="V26" s="5" t="str">
        <f t="shared" si="20"/>
        <v>нет</v>
      </c>
      <c r="W26" s="5" t="str">
        <f>""</f>
        <v/>
      </c>
      <c r="X26" s="5" t="str">
        <f>""</f>
        <v/>
      </c>
      <c r="Y26" s="9" t="str">
        <f>""</f>
        <v/>
      </c>
      <c r="Z26" s="5" t="str">
        <f>"1974"</f>
        <v>1974</v>
      </c>
      <c r="AA26" s="5" t="str">
        <f>"35,00"</f>
        <v>35,00</v>
      </c>
      <c r="AB26" s="5" t="str">
        <f>"2024"</f>
        <v>2024</v>
      </c>
      <c r="AC26" s="5" t="str">
        <f t="shared" si="22"/>
        <v>нет</v>
      </c>
      <c r="AD26" s="5" t="str">
        <f>""</f>
        <v/>
      </c>
      <c r="AE26" s="5" t="str">
        <f>""</f>
        <v/>
      </c>
      <c r="AF26" s="5" t="str">
        <f>""</f>
        <v/>
      </c>
      <c r="AG26" s="5" t="str">
        <f t="shared" si="23"/>
        <v>нет</v>
      </c>
      <c r="AH26" s="5" t="str">
        <f>""</f>
        <v/>
      </c>
      <c r="AI26" s="5" t="str">
        <f>""</f>
        <v/>
      </c>
      <c r="AJ26" s="5" t="str">
        <f>""</f>
        <v/>
      </c>
      <c r="AK26" s="8" t="str">
        <f>"1974"</f>
        <v>1974</v>
      </c>
      <c r="AL26" s="5" t="str">
        <f>"35,00"</f>
        <v>35,00</v>
      </c>
      <c r="AM26" s="5" t="str">
        <f>"2025"</f>
        <v>2025</v>
      </c>
      <c r="AN26" s="5" t="str">
        <f t="shared" si="24"/>
        <v>нет</v>
      </c>
      <c r="AO26" s="5" t="str">
        <f>""</f>
        <v/>
      </c>
      <c r="AP26" s="5" t="str">
        <f>""</f>
        <v/>
      </c>
      <c r="AQ26" s="5" t="str">
        <f>""</f>
        <v/>
      </c>
      <c r="AR26" s="5" t="str">
        <f t="shared" si="25"/>
        <v>нет</v>
      </c>
      <c r="AS26" s="5" t="str">
        <f>""</f>
        <v/>
      </c>
      <c r="AT26" s="5" t="str">
        <f>""</f>
        <v/>
      </c>
      <c r="AU26" s="5" t="str">
        <f>""</f>
        <v/>
      </c>
      <c r="AV26" s="5" t="str">
        <f>"1974"</f>
        <v>1974</v>
      </c>
      <c r="AW26" s="5" t="str">
        <f>"36,00"</f>
        <v>36,00</v>
      </c>
      <c r="AX26" s="5" t="str">
        <f>"2030"</f>
        <v>2030</v>
      </c>
      <c r="AY26" s="5" t="str">
        <f t="shared" si="26"/>
        <v>нет</v>
      </c>
      <c r="AZ26" s="5" t="str">
        <f>""</f>
        <v/>
      </c>
      <c r="BA26" s="5" t="str">
        <f>""</f>
        <v/>
      </c>
      <c r="BB26" s="5" t="str">
        <f>""</f>
        <v/>
      </c>
      <c r="BC26" s="5" t="str">
        <f t="shared" si="27"/>
        <v>нет</v>
      </c>
      <c r="BD26" s="5" t="str">
        <f>""</f>
        <v/>
      </c>
      <c r="BE26" s="5" t="str">
        <f>""</f>
        <v/>
      </c>
      <c r="BF26" s="5" t="str">
        <f>""</f>
        <v/>
      </c>
      <c r="BG26" s="5" t="str">
        <f>"1974"</f>
        <v>1974</v>
      </c>
      <c r="BH26" s="5" t="str">
        <f>"37,00"</f>
        <v>37,00</v>
      </c>
      <c r="BI26" s="5" t="str">
        <f>"2032"</f>
        <v>2032</v>
      </c>
      <c r="BJ26" s="5" t="str">
        <f t="shared" si="28"/>
        <v>нет</v>
      </c>
      <c r="BK26" s="5" t="str">
        <f>""</f>
        <v/>
      </c>
      <c r="BL26" s="5" t="str">
        <f>""</f>
        <v/>
      </c>
      <c r="BM26" s="5" t="str">
        <f>""</f>
        <v/>
      </c>
      <c r="BN26" s="5" t="str">
        <f t="shared" si="29"/>
        <v>нет</v>
      </c>
      <c r="BO26" s="5" t="str">
        <f>""</f>
        <v/>
      </c>
      <c r="BP26" s="5" t="str">
        <f>""</f>
        <v/>
      </c>
      <c r="BQ26" s="5" t="str">
        <f>""</f>
        <v/>
      </c>
      <c r="BR26" s="5" t="str">
        <f>"1974"</f>
        <v>1974</v>
      </c>
      <c r="BS26" s="5" t="str">
        <f>"40,00"</f>
        <v>40,00</v>
      </c>
      <c r="BT26" s="5" t="str">
        <f>"2034"</f>
        <v>2034</v>
      </c>
      <c r="BU26" s="5" t="str">
        <f t="shared" si="10"/>
        <v>нет</v>
      </c>
      <c r="BV26" s="5" t="str">
        <f t="shared" si="11"/>
        <v>x</v>
      </c>
      <c r="BW26" s="5" t="str">
        <f t="shared" si="11"/>
        <v>x</v>
      </c>
      <c r="BX26" s="5" t="str">
        <f t="shared" si="11"/>
        <v>x</v>
      </c>
      <c r="BY26" s="5" t="str">
        <f t="shared" si="12"/>
        <v>нет</v>
      </c>
      <c r="BZ26" s="5" t="str">
        <f>"1974"</f>
        <v>1974</v>
      </c>
      <c r="CA26" s="5" t="str">
        <f>"7,00"</f>
        <v>7,00</v>
      </c>
      <c r="CB26" s="5" t="str">
        <f>"2021"</f>
        <v>2021</v>
      </c>
      <c r="CC26" s="5" t="str">
        <f>"1977"</f>
        <v>1977</v>
      </c>
      <c r="CD26" s="5" t="str">
        <f>"44,00"</f>
        <v>44,00</v>
      </c>
      <c r="CE26" s="5" t="str">
        <f>"2023"</f>
        <v>2023</v>
      </c>
      <c r="CF26" s="5" t="str">
        <f>"1977"</f>
        <v>1977</v>
      </c>
      <c r="CG26" s="5" t="str">
        <f>"46,00"</f>
        <v>46,00</v>
      </c>
      <c r="CH26" s="5" t="str">
        <f>"2026"</f>
        <v>2026</v>
      </c>
      <c r="CI26" s="5" t="str">
        <f>"9,00"</f>
        <v>9,00</v>
      </c>
      <c r="CJ26" s="5" t="str">
        <f>"2040"</f>
        <v>2040</v>
      </c>
    </row>
    <row r="27" spans="1:88" ht="11.25" customHeight="1">
      <c r="A27" s="3" t="str">
        <f>"1.14"</f>
        <v>1.14</v>
      </c>
      <c r="B27" s="4" t="str">
        <f>"г. Грязовец, пер. Северный 1-й, д.87"</f>
        <v>г. Грязовец, пер. Северный 1-й, д.87</v>
      </c>
      <c r="C27" s="7" t="str">
        <f>"1970"</f>
        <v>1970</v>
      </c>
      <c r="D27" s="5" t="str">
        <f>"1970"</f>
        <v>1970</v>
      </c>
      <c r="E27" s="5" t="str">
        <f>"36,00"</f>
        <v>36,00</v>
      </c>
      <c r="F27" s="5" t="str">
        <f>"2020"</f>
        <v>2020</v>
      </c>
      <c r="G27" s="5" t="str">
        <f>"нет"</f>
        <v>нет</v>
      </c>
      <c r="H27" s="5" t="str">
        <f>""</f>
        <v/>
      </c>
      <c r="I27" s="5" t="str">
        <f>""</f>
        <v/>
      </c>
      <c r="J27" s="5" t="str">
        <f>""</f>
        <v/>
      </c>
      <c r="K27" s="5" t="str">
        <f t="shared" si="16"/>
        <v>нет</v>
      </c>
      <c r="L27" s="5" t="str">
        <f>""</f>
        <v/>
      </c>
      <c r="M27" s="5" t="str">
        <f>""</f>
        <v/>
      </c>
      <c r="N27" s="5" t="str">
        <f>""</f>
        <v/>
      </c>
      <c r="O27" s="8" t="str">
        <f>"1970"</f>
        <v>1970</v>
      </c>
      <c r="P27" s="5" t="str">
        <f>"30,00"</f>
        <v>30,00</v>
      </c>
      <c r="Q27" s="5" t="str">
        <f>"2021"</f>
        <v>2021</v>
      </c>
      <c r="R27" s="5" t="str">
        <f t="shared" si="18"/>
        <v>нет</v>
      </c>
      <c r="S27" s="5" t="str">
        <f>"х"</f>
        <v>х</v>
      </c>
      <c r="T27" s="5" t="str">
        <f>"х"</f>
        <v>х</v>
      </c>
      <c r="U27" s="5" t="str">
        <f>"х"</f>
        <v>х</v>
      </c>
      <c r="V27" s="5" t="str">
        <f t="shared" si="20"/>
        <v>нет</v>
      </c>
      <c r="W27" s="5" t="str">
        <f>"х"</f>
        <v>х</v>
      </c>
      <c r="X27" s="5" t="str">
        <f>"х"</f>
        <v>х</v>
      </c>
      <c r="Y27" s="9" t="str">
        <f>"х"</f>
        <v>х</v>
      </c>
      <c r="Z27" s="5" t="str">
        <f>"1970"</f>
        <v>1970</v>
      </c>
      <c r="AA27" s="5" t="str">
        <f>"33,00"</f>
        <v>33,00</v>
      </c>
      <c r="AB27" s="5" t="str">
        <f>"2022"</f>
        <v>2022</v>
      </c>
      <c r="AC27" s="5" t="str">
        <f t="shared" si="22"/>
        <v>нет</v>
      </c>
      <c r="AD27" s="5" t="str">
        <f>""</f>
        <v/>
      </c>
      <c r="AE27" s="5" t="str">
        <f>""</f>
        <v/>
      </c>
      <c r="AF27" s="5" t="str">
        <f>""</f>
        <v/>
      </c>
      <c r="AG27" s="5" t="str">
        <f t="shared" si="23"/>
        <v>нет</v>
      </c>
      <c r="AH27" s="5" t="str">
        <f>""</f>
        <v/>
      </c>
      <c r="AI27" s="5" t="str">
        <f>""</f>
        <v/>
      </c>
      <c r="AJ27" s="5" t="str">
        <f>""</f>
        <v/>
      </c>
      <c r="AK27" s="8" t="str">
        <f>"1970"</f>
        <v>1970</v>
      </c>
      <c r="AL27" s="5" t="str">
        <f>"29,00"</f>
        <v>29,00</v>
      </c>
      <c r="AM27" s="5" t="str">
        <f>"2023"</f>
        <v>2023</v>
      </c>
      <c r="AN27" s="5" t="str">
        <f t="shared" si="24"/>
        <v>нет</v>
      </c>
      <c r="AO27" s="5" t="str">
        <f>"х"</f>
        <v>х</v>
      </c>
      <c r="AP27" s="5" t="str">
        <f>"х"</f>
        <v>х</v>
      </c>
      <c r="AQ27" s="5" t="str">
        <f>"х"</f>
        <v>х</v>
      </c>
      <c r="AR27" s="5" t="str">
        <f t="shared" si="25"/>
        <v>нет</v>
      </c>
      <c r="AS27" s="5" t="str">
        <f>"х"</f>
        <v>х</v>
      </c>
      <c r="AT27" s="5" t="str">
        <f>"х"</f>
        <v>х</v>
      </c>
      <c r="AU27" s="5" t="str">
        <f>"х"</f>
        <v>х</v>
      </c>
      <c r="AV27" s="5" t="str">
        <f>"1970"</f>
        <v>1970</v>
      </c>
      <c r="AW27" s="5" t="str">
        <f>"28,00"</f>
        <v>28,00</v>
      </c>
      <c r="AX27" s="5" t="str">
        <f>"2023"</f>
        <v>2023</v>
      </c>
      <c r="AY27" s="5" t="str">
        <f t="shared" si="26"/>
        <v>нет</v>
      </c>
      <c r="AZ27" s="5" t="str">
        <f t="shared" ref="AZ27:BB35" si="38">"х"</f>
        <v>х</v>
      </c>
      <c r="BA27" s="5" t="str">
        <f t="shared" si="38"/>
        <v>х</v>
      </c>
      <c r="BB27" s="5" t="str">
        <f t="shared" si="38"/>
        <v>х</v>
      </c>
      <c r="BC27" s="5" t="str">
        <f t="shared" si="27"/>
        <v>нет</v>
      </c>
      <c r="BD27" s="5" t="str">
        <f t="shared" ref="BD27:BF35" si="39">"х"</f>
        <v>х</v>
      </c>
      <c r="BE27" s="5" t="str">
        <f t="shared" si="39"/>
        <v>х</v>
      </c>
      <c r="BF27" s="5" t="str">
        <f t="shared" si="39"/>
        <v>х</v>
      </c>
      <c r="BG27" s="5" t="str">
        <f>"1970"</f>
        <v>1970</v>
      </c>
      <c r="BH27" s="5" t="str">
        <f>"29,00"</f>
        <v>29,00</v>
      </c>
      <c r="BI27" s="5" t="str">
        <f>"2024"</f>
        <v>2024</v>
      </c>
      <c r="BJ27" s="5" t="str">
        <f t="shared" si="28"/>
        <v>нет</v>
      </c>
      <c r="BK27" s="5" t="str">
        <f t="shared" ref="BK27:BM35" si="40">"х"</f>
        <v>х</v>
      </c>
      <c r="BL27" s="5" t="str">
        <f t="shared" si="40"/>
        <v>х</v>
      </c>
      <c r="BM27" s="5" t="str">
        <f t="shared" si="40"/>
        <v>х</v>
      </c>
      <c r="BN27" s="5" t="str">
        <f t="shared" si="29"/>
        <v>нет</v>
      </c>
      <c r="BO27" s="5" t="str">
        <f t="shared" ref="BO27:BQ35" si="41">"х"</f>
        <v>х</v>
      </c>
      <c r="BP27" s="5" t="str">
        <f t="shared" si="41"/>
        <v>х</v>
      </c>
      <c r="BQ27" s="5" t="str">
        <f t="shared" si="41"/>
        <v>х</v>
      </c>
      <c r="BR27" s="5" t="str">
        <f>"1970"</f>
        <v>1970</v>
      </c>
      <c r="BS27" s="5" t="str">
        <f>"40,00"</f>
        <v>40,00</v>
      </c>
      <c r="BT27" s="5" t="str">
        <f>"2020"</f>
        <v>2020</v>
      </c>
      <c r="BU27" s="5" t="str">
        <f t="shared" si="10"/>
        <v>нет</v>
      </c>
      <c r="BV27" s="5" t="str">
        <f t="shared" si="11"/>
        <v>x</v>
      </c>
      <c r="BW27" s="5" t="str">
        <f t="shared" si="11"/>
        <v>x</v>
      </c>
      <c r="BX27" s="5" t="str">
        <f t="shared" si="11"/>
        <v>x</v>
      </c>
      <c r="BY27" s="5" t="str">
        <f t="shared" si="12"/>
        <v>нет</v>
      </c>
      <c r="BZ27" s="5" t="str">
        <f>"1970"</f>
        <v>1970</v>
      </c>
      <c r="CA27" s="5" t="str">
        <f>"28,00"</f>
        <v>28,00</v>
      </c>
      <c r="CB27" s="5" t="str">
        <f>"2023"</f>
        <v>2023</v>
      </c>
      <c r="CC27" s="5" t="str">
        <f>"1970"</f>
        <v>1970</v>
      </c>
      <c r="CD27" s="5" t="str">
        <f>"40,00"</f>
        <v>40,00</v>
      </c>
      <c r="CE27" s="5" t="str">
        <f>"2023"</f>
        <v>2023</v>
      </c>
      <c r="CF27" s="5" t="str">
        <f>"1970"</f>
        <v>1970</v>
      </c>
      <c r="CG27" s="5" t="str">
        <f>"43,00"</f>
        <v>43,00</v>
      </c>
      <c r="CH27" s="5" t="str">
        <f>"2022"</f>
        <v>2022</v>
      </c>
      <c r="CI27" s="5" t="str">
        <f>"30,00"</f>
        <v>30,00</v>
      </c>
      <c r="CJ27" s="5" t="str">
        <f>"2025"</f>
        <v>2025</v>
      </c>
    </row>
    <row r="28" spans="1:88" ht="11.25" customHeight="1">
      <c r="A28" s="3" t="str">
        <f>"1.15"</f>
        <v>1.15</v>
      </c>
      <c r="B28" s="4" t="str">
        <f>"г. Грязовец, пер. Северный 1-й, д.92"</f>
        <v>г. Грязовец, пер. Северный 1-й, д.92</v>
      </c>
      <c r="C28" s="7" t="str">
        <f>"1993"</f>
        <v>1993</v>
      </c>
      <c r="D28" s="5" t="str">
        <f>"1993"</f>
        <v>1993</v>
      </c>
      <c r="E28" s="5" t="str">
        <f>"9,00"</f>
        <v>9,00</v>
      </c>
      <c r="F28" s="5" t="str">
        <f>"2035"</f>
        <v>2035</v>
      </c>
      <c r="G28" s="5" t="str">
        <f>"нет"</f>
        <v>нет</v>
      </c>
      <c r="H28" s="5" t="str">
        <f>""</f>
        <v/>
      </c>
      <c r="I28" s="5" t="str">
        <f>""</f>
        <v/>
      </c>
      <c r="J28" s="5" t="str">
        <f>""</f>
        <v/>
      </c>
      <c r="K28" s="5" t="str">
        <f t="shared" si="16"/>
        <v>нет</v>
      </c>
      <c r="L28" s="5" t="str">
        <f>""</f>
        <v/>
      </c>
      <c r="M28" s="5" t="str">
        <f>""</f>
        <v/>
      </c>
      <c r="N28" s="5" t="str">
        <f>""</f>
        <v/>
      </c>
      <c r="O28" s="8" t="str">
        <f>"1993"</f>
        <v>1993</v>
      </c>
      <c r="P28" s="5" t="str">
        <f>"10,00"</f>
        <v>10,00</v>
      </c>
      <c r="Q28" s="5" t="str">
        <f>"2033"</f>
        <v>2033</v>
      </c>
      <c r="R28" s="5" t="str">
        <f t="shared" si="18"/>
        <v>нет</v>
      </c>
      <c r="S28" s="5" t="str">
        <f>""</f>
        <v/>
      </c>
      <c r="T28" s="5" t="str">
        <f>""</f>
        <v/>
      </c>
      <c r="U28" s="5" t="str">
        <f>""</f>
        <v/>
      </c>
      <c r="V28" s="5" t="str">
        <f t="shared" si="20"/>
        <v>нет</v>
      </c>
      <c r="W28" s="5" t="str">
        <f>""</f>
        <v/>
      </c>
      <c r="X28" s="5" t="str">
        <f>""</f>
        <v/>
      </c>
      <c r="Y28" s="9" t="str">
        <f>""</f>
        <v/>
      </c>
      <c r="Z28" s="5" t="str">
        <f>"1993"</f>
        <v>1993</v>
      </c>
      <c r="AA28" s="5" t="str">
        <f>"9,00"</f>
        <v>9,00</v>
      </c>
      <c r="AB28" s="5" t="str">
        <f>"2028"</f>
        <v>2028</v>
      </c>
      <c r="AC28" s="5" t="str">
        <f t="shared" si="22"/>
        <v>нет</v>
      </c>
      <c r="AD28" s="5" t="str">
        <f>""</f>
        <v/>
      </c>
      <c r="AE28" s="5" t="str">
        <f>""</f>
        <v/>
      </c>
      <c r="AF28" s="5" t="str">
        <f>""</f>
        <v/>
      </c>
      <c r="AG28" s="5" t="str">
        <f t="shared" si="23"/>
        <v>нет</v>
      </c>
      <c r="AH28" s="5" t="str">
        <f>""</f>
        <v/>
      </c>
      <c r="AI28" s="5" t="str">
        <f>""</f>
        <v/>
      </c>
      <c r="AJ28" s="5" t="str">
        <f>""</f>
        <v/>
      </c>
      <c r="AK28" s="8" t="str">
        <f>"1993"</f>
        <v>1993</v>
      </c>
      <c r="AL28" s="5" t="str">
        <f>"8,00"</f>
        <v>8,00</v>
      </c>
      <c r="AM28" s="5" t="str">
        <f>"2028"</f>
        <v>2028</v>
      </c>
      <c r="AN28" s="5" t="str">
        <f t="shared" si="24"/>
        <v>нет</v>
      </c>
      <c r="AO28" s="5" t="str">
        <f>""</f>
        <v/>
      </c>
      <c r="AP28" s="5" t="str">
        <f>""</f>
        <v/>
      </c>
      <c r="AQ28" s="5" t="str">
        <f>""</f>
        <v/>
      </c>
      <c r="AR28" s="5" t="str">
        <f t="shared" si="25"/>
        <v>нет</v>
      </c>
      <c r="AS28" s="5" t="str">
        <f>""</f>
        <v/>
      </c>
      <c r="AT28" s="5" t="str">
        <f>""</f>
        <v/>
      </c>
      <c r="AU28" s="5" t="str">
        <f>""</f>
        <v/>
      </c>
      <c r="AV28" s="5" t="str">
        <f>"1993"</f>
        <v>1993</v>
      </c>
      <c r="AW28" s="5" t="str">
        <f>"9,00"</f>
        <v>9,00</v>
      </c>
      <c r="AX28" s="5" t="str">
        <f>"2020"</f>
        <v>2020</v>
      </c>
      <c r="AY28" s="5" t="str">
        <f t="shared" si="26"/>
        <v>нет</v>
      </c>
      <c r="AZ28" s="5" t="str">
        <f t="shared" si="38"/>
        <v>х</v>
      </c>
      <c r="BA28" s="5" t="str">
        <f t="shared" si="38"/>
        <v>х</v>
      </c>
      <c r="BB28" s="5" t="str">
        <f t="shared" si="38"/>
        <v>х</v>
      </c>
      <c r="BC28" s="5" t="str">
        <f t="shared" si="27"/>
        <v>нет</v>
      </c>
      <c r="BD28" s="5" t="str">
        <f t="shared" si="39"/>
        <v>х</v>
      </c>
      <c r="BE28" s="5" t="str">
        <f t="shared" si="39"/>
        <v>х</v>
      </c>
      <c r="BF28" s="5" t="str">
        <f t="shared" si="39"/>
        <v>х</v>
      </c>
      <c r="BG28" s="5" t="str">
        <f>"1993"</f>
        <v>1993</v>
      </c>
      <c r="BH28" s="5" t="str">
        <f>"10,00"</f>
        <v>10,00</v>
      </c>
      <c r="BI28" s="5" t="str">
        <f>"2027"</f>
        <v>2027</v>
      </c>
      <c r="BJ28" s="5" t="str">
        <f t="shared" si="28"/>
        <v>нет</v>
      </c>
      <c r="BK28" s="5" t="str">
        <f t="shared" si="40"/>
        <v>х</v>
      </c>
      <c r="BL28" s="5" t="str">
        <f t="shared" si="40"/>
        <v>х</v>
      </c>
      <c r="BM28" s="5" t="str">
        <f t="shared" si="40"/>
        <v>х</v>
      </c>
      <c r="BN28" s="5" t="str">
        <f t="shared" si="29"/>
        <v>нет</v>
      </c>
      <c r="BO28" s="5" t="str">
        <f t="shared" si="41"/>
        <v>х</v>
      </c>
      <c r="BP28" s="5" t="str">
        <f t="shared" si="41"/>
        <v>х</v>
      </c>
      <c r="BQ28" s="5" t="str">
        <f t="shared" si="41"/>
        <v>х</v>
      </c>
      <c r="BR28" s="5" t="str">
        <f>"1993"</f>
        <v>1993</v>
      </c>
      <c r="BS28" s="5" t="str">
        <f>"12,00"</f>
        <v>12,00</v>
      </c>
      <c r="BT28" s="5" t="str">
        <f>"2028"</f>
        <v>2028</v>
      </c>
      <c r="BU28" s="5" t="str">
        <f t="shared" si="10"/>
        <v>нет</v>
      </c>
      <c r="BV28" s="5" t="str">
        <f t="shared" si="11"/>
        <v>x</v>
      </c>
      <c r="BW28" s="5" t="str">
        <f t="shared" si="11"/>
        <v>x</v>
      </c>
      <c r="BX28" s="5" t="str">
        <f t="shared" si="11"/>
        <v>x</v>
      </c>
      <c r="BY28" s="5" t="str">
        <f t="shared" si="12"/>
        <v>нет</v>
      </c>
      <c r="BZ28" s="5" t="str">
        <f>"1993"</f>
        <v>1993</v>
      </c>
      <c r="CA28" s="5" t="str">
        <f>"11,00"</f>
        <v>11,00</v>
      </c>
      <c r="CB28" s="5" t="str">
        <f>"2027"</f>
        <v>2027</v>
      </c>
      <c r="CC28" s="5" t="str">
        <f>"1993"</f>
        <v>1993</v>
      </c>
      <c r="CD28" s="5" t="str">
        <f>"12,00"</f>
        <v>12,00</v>
      </c>
      <c r="CE28" s="5" t="str">
        <f>"2027"</f>
        <v>2027</v>
      </c>
      <c r="CF28" s="5" t="str">
        <f>"1993"</f>
        <v>1993</v>
      </c>
      <c r="CG28" s="5" t="str">
        <f>"12,00"</f>
        <v>12,00</v>
      </c>
      <c r="CH28" s="5" t="str">
        <f>"2028"</f>
        <v>2028</v>
      </c>
      <c r="CI28" s="5" t="str">
        <f>"12,00"</f>
        <v>12,00</v>
      </c>
      <c r="CJ28" s="5" t="str">
        <f>"2043"</f>
        <v>2043</v>
      </c>
    </row>
    <row r="29" spans="1:88" ht="11.25" customHeight="1">
      <c r="A29" s="3" t="str">
        <f>"1.16"</f>
        <v>1.16</v>
      </c>
      <c r="B29" s="4" t="str">
        <f>"г. Грязовец, пер. Северный 1-й, д.94"</f>
        <v>г. Грязовец, пер. Северный 1-й, д.94</v>
      </c>
      <c r="C29" s="7" t="str">
        <f>"1998"</f>
        <v>1998</v>
      </c>
      <c r="D29" s="5" t="str">
        <f>"1998"</f>
        <v>1998</v>
      </c>
      <c r="E29" s="5" t="str">
        <f>"5,00"</f>
        <v>5,00</v>
      </c>
      <c r="F29" s="5" t="str">
        <f>"2029"</f>
        <v>2029</v>
      </c>
      <c r="G29" s="5" t="str">
        <f>"нет"</f>
        <v>нет</v>
      </c>
      <c r="H29" s="5" t="str">
        <f>""</f>
        <v/>
      </c>
      <c r="I29" s="5" t="str">
        <f>""</f>
        <v/>
      </c>
      <c r="J29" s="5" t="str">
        <f>""</f>
        <v/>
      </c>
      <c r="K29" s="5" t="str">
        <f t="shared" si="16"/>
        <v>нет</v>
      </c>
      <c r="L29" s="5" t="str">
        <f>""</f>
        <v/>
      </c>
      <c r="M29" s="5" t="str">
        <f>""</f>
        <v/>
      </c>
      <c r="N29" s="5" t="str">
        <f>""</f>
        <v/>
      </c>
      <c r="O29" s="8" t="str">
        <f>"1998"</f>
        <v>1998</v>
      </c>
      <c r="P29" s="5" t="str">
        <f>"5,00"</f>
        <v>5,00</v>
      </c>
      <c r="Q29" s="5" t="str">
        <f>"2031"</f>
        <v>2031</v>
      </c>
      <c r="R29" s="5" t="str">
        <f t="shared" si="18"/>
        <v>нет</v>
      </c>
      <c r="S29" s="5" t="str">
        <f>"х"</f>
        <v>х</v>
      </c>
      <c r="T29" s="5" t="str">
        <f>"х"</f>
        <v>х</v>
      </c>
      <c r="U29" s="5" t="str">
        <f>"х"</f>
        <v>х</v>
      </c>
      <c r="V29" s="5" t="str">
        <f t="shared" si="20"/>
        <v>нет</v>
      </c>
      <c r="W29" s="5" t="str">
        <f>"х"</f>
        <v>х</v>
      </c>
      <c r="X29" s="5" t="str">
        <f>"х"</f>
        <v>х</v>
      </c>
      <c r="Y29" s="9" t="str">
        <f>"х"</f>
        <v>х</v>
      </c>
      <c r="Z29" s="5" t="str">
        <f>"1998"</f>
        <v>1998</v>
      </c>
      <c r="AA29" s="5" t="str">
        <f>"7,00"</f>
        <v>7,00</v>
      </c>
      <c r="AB29" s="5" t="str">
        <f>"2037"</f>
        <v>2037</v>
      </c>
      <c r="AC29" s="5" t="str">
        <f t="shared" si="22"/>
        <v>нет</v>
      </c>
      <c r="AD29" s="5" t="str">
        <f>""</f>
        <v/>
      </c>
      <c r="AE29" s="5" t="str">
        <f>""</f>
        <v/>
      </c>
      <c r="AF29" s="5" t="str">
        <f>""</f>
        <v/>
      </c>
      <c r="AG29" s="5" t="str">
        <f t="shared" si="23"/>
        <v>нет</v>
      </c>
      <c r="AH29" s="5" t="str">
        <f>""</f>
        <v/>
      </c>
      <c r="AI29" s="5" t="str">
        <f>""</f>
        <v/>
      </c>
      <c r="AJ29" s="5" t="str">
        <f>""</f>
        <v/>
      </c>
      <c r="AK29" s="8" t="str">
        <f>"1998"</f>
        <v>1998</v>
      </c>
      <c r="AL29" s="5" t="str">
        <f>"4,00"</f>
        <v>4,00</v>
      </c>
      <c r="AM29" s="5" t="str">
        <f>"2030"</f>
        <v>2030</v>
      </c>
      <c r="AN29" s="5" t="str">
        <f t="shared" si="24"/>
        <v>нет</v>
      </c>
      <c r="AO29" s="5" t="str">
        <f t="shared" ref="AO29:AQ35" si="42">"х"</f>
        <v>х</v>
      </c>
      <c r="AP29" s="5" t="str">
        <f t="shared" si="42"/>
        <v>х</v>
      </c>
      <c r="AQ29" s="5" t="str">
        <f t="shared" si="42"/>
        <v>х</v>
      </c>
      <c r="AR29" s="5" t="str">
        <f t="shared" si="25"/>
        <v>нет</v>
      </c>
      <c r="AS29" s="5" t="str">
        <f t="shared" ref="AS29:AU35" si="43">"х"</f>
        <v>х</v>
      </c>
      <c r="AT29" s="5" t="str">
        <f t="shared" si="43"/>
        <v>х</v>
      </c>
      <c r="AU29" s="5" t="str">
        <f t="shared" si="43"/>
        <v>х</v>
      </c>
      <c r="AV29" s="5" t="str">
        <f>"1998"</f>
        <v>1998</v>
      </c>
      <c r="AW29" s="5" t="str">
        <f>"5,00"</f>
        <v>5,00</v>
      </c>
      <c r="AX29" s="5" t="str">
        <f>"2031"</f>
        <v>2031</v>
      </c>
      <c r="AY29" s="5" t="str">
        <f t="shared" si="26"/>
        <v>нет</v>
      </c>
      <c r="AZ29" s="5" t="str">
        <f t="shared" si="38"/>
        <v>х</v>
      </c>
      <c r="BA29" s="5" t="str">
        <f t="shared" si="38"/>
        <v>х</v>
      </c>
      <c r="BB29" s="5" t="str">
        <f t="shared" si="38"/>
        <v>х</v>
      </c>
      <c r="BC29" s="5" t="str">
        <f t="shared" si="27"/>
        <v>нет</v>
      </c>
      <c r="BD29" s="5" t="str">
        <f t="shared" si="39"/>
        <v>х</v>
      </c>
      <c r="BE29" s="5" t="str">
        <f t="shared" si="39"/>
        <v>х</v>
      </c>
      <c r="BF29" s="5" t="str">
        <f t="shared" si="39"/>
        <v>х</v>
      </c>
      <c r="BG29" s="5" t="str">
        <f>"1998"</f>
        <v>1998</v>
      </c>
      <c r="BH29" s="5" t="str">
        <f>"5,00"</f>
        <v>5,00</v>
      </c>
      <c r="BI29" s="5" t="str">
        <f>"2032"</f>
        <v>2032</v>
      </c>
      <c r="BJ29" s="5" t="str">
        <f t="shared" si="28"/>
        <v>нет</v>
      </c>
      <c r="BK29" s="5" t="str">
        <f t="shared" si="40"/>
        <v>х</v>
      </c>
      <c r="BL29" s="5" t="str">
        <f t="shared" si="40"/>
        <v>х</v>
      </c>
      <c r="BM29" s="5" t="str">
        <f t="shared" si="40"/>
        <v>х</v>
      </c>
      <c r="BN29" s="5" t="str">
        <f t="shared" si="29"/>
        <v>нет</v>
      </c>
      <c r="BO29" s="5" t="str">
        <f t="shared" si="41"/>
        <v>х</v>
      </c>
      <c r="BP29" s="5" t="str">
        <f t="shared" si="41"/>
        <v>х</v>
      </c>
      <c r="BQ29" s="5" t="str">
        <f t="shared" si="41"/>
        <v>х</v>
      </c>
      <c r="BR29" s="5" t="str">
        <f>"1998"</f>
        <v>1998</v>
      </c>
      <c r="BS29" s="5" t="str">
        <f>"7,00"</f>
        <v>7,00</v>
      </c>
      <c r="BT29" s="5" t="str">
        <f>"2022"</f>
        <v>2022</v>
      </c>
      <c r="BU29" s="5" t="str">
        <f t="shared" si="10"/>
        <v>нет</v>
      </c>
      <c r="BV29" s="5" t="str">
        <f t="shared" si="11"/>
        <v>x</v>
      </c>
      <c r="BW29" s="5" t="str">
        <f t="shared" si="11"/>
        <v>x</v>
      </c>
      <c r="BX29" s="5" t="str">
        <f t="shared" si="11"/>
        <v>x</v>
      </c>
      <c r="BY29" s="5" t="str">
        <f t="shared" si="12"/>
        <v>нет</v>
      </c>
      <c r="BZ29" s="5" t="str">
        <f>"1998"</f>
        <v>1998</v>
      </c>
      <c r="CA29" s="5" t="str">
        <f>"7,00"</f>
        <v>7,00</v>
      </c>
      <c r="CB29" s="5" t="str">
        <f>"2030"</f>
        <v>2030</v>
      </c>
      <c r="CC29" s="5" t="str">
        <f>"1998"</f>
        <v>1998</v>
      </c>
      <c r="CD29" s="5" t="str">
        <f>"6,00"</f>
        <v>6,00</v>
      </c>
      <c r="CE29" s="5" t="str">
        <f>"2031"</f>
        <v>2031</v>
      </c>
      <c r="CF29" s="5" t="str">
        <f>"1998"</f>
        <v>1998</v>
      </c>
      <c r="CG29" s="5" t="str">
        <f>"7,00"</f>
        <v>7,00</v>
      </c>
      <c r="CH29" s="5" t="str">
        <f>"2032"</f>
        <v>2032</v>
      </c>
      <c r="CI29" s="5" t="str">
        <f>"7,00"</f>
        <v>7,00</v>
      </c>
      <c r="CJ29" s="5" t="str">
        <f>"2044"</f>
        <v>2044</v>
      </c>
    </row>
    <row r="30" spans="1:88" ht="11.25" customHeight="1">
      <c r="A30" s="3" t="str">
        <f>"1.17"</f>
        <v>1.17</v>
      </c>
      <c r="B30" s="4" t="str">
        <f>"г. Грязовец, пер. Северный 2-й, д.12"</f>
        <v>г. Грязовец, пер. Северный 2-й, д.12</v>
      </c>
      <c r="C30" s="7" t="str">
        <f>"1960"</f>
        <v>1960</v>
      </c>
      <c r="D30" s="5" t="str">
        <f t="shared" ref="D30:N30" si="44">"х"</f>
        <v>х</v>
      </c>
      <c r="E30" s="5" t="str">
        <f t="shared" si="44"/>
        <v>х</v>
      </c>
      <c r="F30" s="5" t="str">
        <f t="shared" si="44"/>
        <v>х</v>
      </c>
      <c r="G30" s="5" t="str">
        <f t="shared" si="44"/>
        <v>х</v>
      </c>
      <c r="H30" s="5" t="str">
        <f t="shared" si="44"/>
        <v>х</v>
      </c>
      <c r="I30" s="5" t="str">
        <f t="shared" si="44"/>
        <v>х</v>
      </c>
      <c r="J30" s="5" t="str">
        <f t="shared" si="44"/>
        <v>х</v>
      </c>
      <c r="K30" s="5" t="str">
        <f t="shared" si="44"/>
        <v>х</v>
      </c>
      <c r="L30" s="5" t="str">
        <f t="shared" si="44"/>
        <v>х</v>
      </c>
      <c r="M30" s="5" t="str">
        <f t="shared" si="44"/>
        <v>х</v>
      </c>
      <c r="N30" s="5" t="str">
        <f t="shared" si="44"/>
        <v>х</v>
      </c>
      <c r="O30" s="8" t="str">
        <f>""</f>
        <v/>
      </c>
      <c r="P30" s="5" t="str">
        <f>""</f>
        <v/>
      </c>
      <c r="Q30" s="5" t="str">
        <f>""</f>
        <v/>
      </c>
      <c r="R30" s="5" t="str">
        <f>""</f>
        <v/>
      </c>
      <c r="S30" s="5" t="str">
        <f>""</f>
        <v/>
      </c>
      <c r="T30" s="5" t="str">
        <f>""</f>
        <v/>
      </c>
      <c r="U30" s="5" t="str">
        <f>""</f>
        <v/>
      </c>
      <c r="V30" s="5" t="str">
        <f>""</f>
        <v/>
      </c>
      <c r="W30" s="5" t="str">
        <f>""</f>
        <v/>
      </c>
      <c r="X30" s="5" t="str">
        <f>""</f>
        <v/>
      </c>
      <c r="Y30" s="9" t="str">
        <f>""</f>
        <v/>
      </c>
      <c r="Z30" s="5" t="str">
        <f t="shared" ref="Z30:AN30" si="45">"х"</f>
        <v>х</v>
      </c>
      <c r="AA30" s="5" t="str">
        <f t="shared" si="45"/>
        <v>х</v>
      </c>
      <c r="AB30" s="5" t="str">
        <f t="shared" si="45"/>
        <v>х</v>
      </c>
      <c r="AC30" s="5" t="str">
        <f t="shared" si="45"/>
        <v>х</v>
      </c>
      <c r="AD30" s="5" t="str">
        <f t="shared" si="45"/>
        <v>х</v>
      </c>
      <c r="AE30" s="5" t="str">
        <f t="shared" si="45"/>
        <v>х</v>
      </c>
      <c r="AF30" s="5" t="str">
        <f t="shared" si="45"/>
        <v>х</v>
      </c>
      <c r="AG30" s="5" t="str">
        <f t="shared" si="45"/>
        <v>х</v>
      </c>
      <c r="AH30" s="5" t="str">
        <f t="shared" si="45"/>
        <v>х</v>
      </c>
      <c r="AI30" s="5" t="str">
        <f t="shared" si="45"/>
        <v>х</v>
      </c>
      <c r="AJ30" s="5" t="str">
        <f t="shared" si="45"/>
        <v>х</v>
      </c>
      <c r="AK30" s="8" t="str">
        <f t="shared" si="45"/>
        <v>х</v>
      </c>
      <c r="AL30" s="5" t="str">
        <f t="shared" si="45"/>
        <v>х</v>
      </c>
      <c r="AM30" s="5" t="str">
        <f t="shared" si="45"/>
        <v>х</v>
      </c>
      <c r="AN30" s="5" t="str">
        <f t="shared" si="45"/>
        <v>х</v>
      </c>
      <c r="AO30" s="5" t="str">
        <f t="shared" si="42"/>
        <v>х</v>
      </c>
      <c r="AP30" s="5" t="str">
        <f t="shared" si="42"/>
        <v>х</v>
      </c>
      <c r="AQ30" s="5" t="str">
        <f t="shared" si="42"/>
        <v>х</v>
      </c>
      <c r="AR30" s="5" t="str">
        <f>"х"</f>
        <v>х</v>
      </c>
      <c r="AS30" s="5" t="str">
        <f t="shared" si="43"/>
        <v>х</v>
      </c>
      <c r="AT30" s="5" t="str">
        <f t="shared" si="43"/>
        <v>х</v>
      </c>
      <c r="AU30" s="5" t="str">
        <f t="shared" si="43"/>
        <v>х</v>
      </c>
      <c r="AV30" s="5" t="str">
        <f>"х"</f>
        <v>х</v>
      </c>
      <c r="AW30" s="5" t="str">
        <f>"х"</f>
        <v>х</v>
      </c>
      <c r="AX30" s="5" t="str">
        <f>"х"</f>
        <v>х</v>
      </c>
      <c r="AY30" s="5" t="str">
        <f>"х"</f>
        <v>х</v>
      </c>
      <c r="AZ30" s="5" t="str">
        <f t="shared" si="38"/>
        <v>х</v>
      </c>
      <c r="BA30" s="5" t="str">
        <f t="shared" si="38"/>
        <v>х</v>
      </c>
      <c r="BB30" s="5" t="str">
        <f t="shared" si="38"/>
        <v>х</v>
      </c>
      <c r="BC30" s="5" t="str">
        <f>"х"</f>
        <v>х</v>
      </c>
      <c r="BD30" s="5" t="str">
        <f t="shared" si="39"/>
        <v>х</v>
      </c>
      <c r="BE30" s="5" t="str">
        <f t="shared" si="39"/>
        <v>х</v>
      </c>
      <c r="BF30" s="5" t="str">
        <f t="shared" si="39"/>
        <v>х</v>
      </c>
      <c r="BG30" s="5" t="str">
        <f>"х"</f>
        <v>х</v>
      </c>
      <c r="BH30" s="5" t="str">
        <f>"х"</f>
        <v>х</v>
      </c>
      <c r="BI30" s="5" t="str">
        <f>"х"</f>
        <v>х</v>
      </c>
      <c r="BJ30" s="5" t="str">
        <f>"х"</f>
        <v>х</v>
      </c>
      <c r="BK30" s="5" t="str">
        <f t="shared" si="40"/>
        <v>х</v>
      </c>
      <c r="BL30" s="5" t="str">
        <f t="shared" si="40"/>
        <v>х</v>
      </c>
      <c r="BM30" s="5" t="str">
        <f t="shared" si="40"/>
        <v>х</v>
      </c>
      <c r="BN30" s="5" t="str">
        <f>"х"</f>
        <v>х</v>
      </c>
      <c r="BO30" s="5" t="str">
        <f t="shared" si="41"/>
        <v>х</v>
      </c>
      <c r="BP30" s="5" t="str">
        <f t="shared" si="41"/>
        <v>х</v>
      </c>
      <c r="BQ30" s="5" t="str">
        <f t="shared" si="41"/>
        <v>х</v>
      </c>
      <c r="BR30" s="5" t="str">
        <f>""</f>
        <v/>
      </c>
      <c r="BS30" s="5" t="str">
        <f>"75,00"</f>
        <v>75,00</v>
      </c>
      <c r="BT30" s="5" t="str">
        <f>"2021"</f>
        <v>2021</v>
      </c>
      <c r="BU30" s="5" t="str">
        <f t="shared" si="10"/>
        <v>нет</v>
      </c>
      <c r="BV30" s="5" t="str">
        <f t="shared" si="11"/>
        <v>x</v>
      </c>
      <c r="BW30" s="5" t="str">
        <f t="shared" si="11"/>
        <v>x</v>
      </c>
      <c r="BX30" s="5" t="str">
        <f t="shared" si="11"/>
        <v>x</v>
      </c>
      <c r="BY30" s="5" t="str">
        <f t="shared" si="12"/>
        <v>нет</v>
      </c>
      <c r="BZ30" s="5" t="str">
        <f>"x"</f>
        <v>x</v>
      </c>
      <c r="CA30" s="5" t="str">
        <f>"x"</f>
        <v>x</v>
      </c>
      <c r="CB30" s="5" t="str">
        <f>"x"</f>
        <v>x</v>
      </c>
      <c r="CC30" s="5" t="str">
        <f>""</f>
        <v/>
      </c>
      <c r="CD30" s="5" t="str">
        <f>"65,00"</f>
        <v>65,00</v>
      </c>
      <c r="CE30" s="5" t="str">
        <f>"2021"</f>
        <v>2021</v>
      </c>
      <c r="CF30" s="5" t="str">
        <f>""</f>
        <v/>
      </c>
      <c r="CG30" s="5" t="str">
        <f>"50,00"</f>
        <v>50,00</v>
      </c>
      <c r="CH30" s="5" t="str">
        <f>"2022"</f>
        <v>2022</v>
      </c>
      <c r="CI30" s="5" t="str">
        <f>"78,00"</f>
        <v>78,00</v>
      </c>
      <c r="CJ30" s="5" t="str">
        <f>"2025"</f>
        <v>2025</v>
      </c>
    </row>
    <row r="31" spans="1:88" ht="11.25" customHeight="1">
      <c r="A31" s="3" t="str">
        <f>"1.18"</f>
        <v>1.18</v>
      </c>
      <c r="B31" s="4" t="str">
        <f>"г. Грязовец, пер. Северный 2-й, д.14"</f>
        <v>г. Грязовец, пер. Северный 2-й, д.14</v>
      </c>
      <c r="C31" s="7" t="str">
        <f>"1981"</f>
        <v>1981</v>
      </c>
      <c r="D31" s="5" t="str">
        <f>"1981"</f>
        <v>1981</v>
      </c>
      <c r="E31" s="5" t="str">
        <f>"49,00"</f>
        <v>49,00</v>
      </c>
      <c r="F31" s="5" t="str">
        <f>"2023"</f>
        <v>2023</v>
      </c>
      <c r="G31" s="5" t="str">
        <f t="shared" ref="G31:G44" si="46">"нет"</f>
        <v>нет</v>
      </c>
      <c r="H31" s="5" t="str">
        <f>""</f>
        <v/>
      </c>
      <c r="I31" s="5" t="str">
        <f>""</f>
        <v/>
      </c>
      <c r="J31" s="5" t="str">
        <f>""</f>
        <v/>
      </c>
      <c r="K31" s="5" t="str">
        <f t="shared" ref="K31:K49" si="47">"нет"</f>
        <v>нет</v>
      </c>
      <c r="L31" s="5" t="str">
        <f>""</f>
        <v/>
      </c>
      <c r="M31" s="5" t="str">
        <f>""</f>
        <v/>
      </c>
      <c r="N31" s="5" t="str">
        <f>""</f>
        <v/>
      </c>
      <c r="O31" s="8" t="str">
        <f t="shared" ref="O31:Q34" si="48">"х"</f>
        <v>х</v>
      </c>
      <c r="P31" s="5" t="str">
        <f t="shared" si="48"/>
        <v>х</v>
      </c>
      <c r="Q31" s="5" t="str">
        <f t="shared" si="48"/>
        <v>х</v>
      </c>
      <c r="R31" s="5" t="str">
        <f t="shared" ref="R31:R51" si="49">"нет"</f>
        <v>нет</v>
      </c>
      <c r="S31" s="5" t="str">
        <f t="shared" ref="S31:U35" si="50">"х"</f>
        <v>х</v>
      </c>
      <c r="T31" s="5" t="str">
        <f t="shared" si="50"/>
        <v>х</v>
      </c>
      <c r="U31" s="5" t="str">
        <f t="shared" si="50"/>
        <v>х</v>
      </c>
      <c r="V31" s="5" t="str">
        <f t="shared" ref="V31:V51" si="51">"нет"</f>
        <v>нет</v>
      </c>
      <c r="W31" s="5" t="str">
        <f t="shared" ref="W31:Y35" si="52">"х"</f>
        <v>х</v>
      </c>
      <c r="X31" s="5" t="str">
        <f t="shared" si="52"/>
        <v>х</v>
      </c>
      <c r="Y31" s="9" t="str">
        <f t="shared" si="52"/>
        <v>х</v>
      </c>
      <c r="Z31" s="5" t="str">
        <f>""</f>
        <v/>
      </c>
      <c r="AA31" s="5" t="str">
        <f>"45,00"</f>
        <v>45,00</v>
      </c>
      <c r="AB31" s="5" t="str">
        <f>"2021"</f>
        <v>2021</v>
      </c>
      <c r="AC31" s="5" t="str">
        <f t="shared" ref="AC31:AC49" si="53">"нет"</f>
        <v>нет</v>
      </c>
      <c r="AD31" s="5" t="str">
        <f>""</f>
        <v/>
      </c>
      <c r="AE31" s="5" t="str">
        <f>""</f>
        <v/>
      </c>
      <c r="AF31" s="5" t="str">
        <f>""</f>
        <v/>
      </c>
      <c r="AG31" s="5" t="str">
        <f t="shared" ref="AG31:AG49" si="54">"нет"</f>
        <v>нет</v>
      </c>
      <c r="AH31" s="5" t="str">
        <f>""</f>
        <v/>
      </c>
      <c r="AI31" s="5" t="str">
        <f>""</f>
        <v/>
      </c>
      <c r="AJ31" s="5" t="str">
        <f>""</f>
        <v/>
      </c>
      <c r="AK31" s="8" t="str">
        <f t="shared" ref="AK31:AM34" si="55">"х"</f>
        <v>х</v>
      </c>
      <c r="AL31" s="5" t="str">
        <f t="shared" si="55"/>
        <v>х</v>
      </c>
      <c r="AM31" s="5" t="str">
        <f t="shared" si="55"/>
        <v>х</v>
      </c>
      <c r="AN31" s="5" t="str">
        <f t="shared" ref="AN31:AN51" si="56">"нет"</f>
        <v>нет</v>
      </c>
      <c r="AO31" s="5" t="str">
        <f t="shared" si="42"/>
        <v>х</v>
      </c>
      <c r="AP31" s="5" t="str">
        <f t="shared" si="42"/>
        <v>х</v>
      </c>
      <c r="AQ31" s="5" t="str">
        <f t="shared" si="42"/>
        <v>х</v>
      </c>
      <c r="AR31" s="5" t="str">
        <f t="shared" ref="AR31:AR50" si="57">"нет"</f>
        <v>нет</v>
      </c>
      <c r="AS31" s="5" t="str">
        <f t="shared" si="43"/>
        <v>х</v>
      </c>
      <c r="AT31" s="5" t="str">
        <f t="shared" si="43"/>
        <v>х</v>
      </c>
      <c r="AU31" s="5" t="str">
        <f t="shared" si="43"/>
        <v>х</v>
      </c>
      <c r="AV31" s="5" t="str">
        <f t="shared" ref="AV31:AX34" si="58">"х"</f>
        <v>х</v>
      </c>
      <c r="AW31" s="5" t="str">
        <f t="shared" si="58"/>
        <v>х</v>
      </c>
      <c r="AX31" s="5" t="str">
        <f t="shared" si="58"/>
        <v>х</v>
      </c>
      <c r="AY31" s="5" t="str">
        <f t="shared" ref="AY31:AY38" si="59">"нет"</f>
        <v>нет</v>
      </c>
      <c r="AZ31" s="5" t="str">
        <f t="shared" si="38"/>
        <v>х</v>
      </c>
      <c r="BA31" s="5" t="str">
        <f t="shared" si="38"/>
        <v>х</v>
      </c>
      <c r="BB31" s="5" t="str">
        <f t="shared" si="38"/>
        <v>х</v>
      </c>
      <c r="BC31" s="5" t="str">
        <f t="shared" ref="BC31:BC38" si="60">"нет"</f>
        <v>нет</v>
      </c>
      <c r="BD31" s="5" t="str">
        <f t="shared" si="39"/>
        <v>х</v>
      </c>
      <c r="BE31" s="5" t="str">
        <f t="shared" si="39"/>
        <v>х</v>
      </c>
      <c r="BF31" s="5" t="str">
        <f t="shared" si="39"/>
        <v>х</v>
      </c>
      <c r="BG31" s="5" t="str">
        <f t="shared" ref="BG31:BI34" si="61">"х"</f>
        <v>х</v>
      </c>
      <c r="BH31" s="5" t="str">
        <f t="shared" si="61"/>
        <v>х</v>
      </c>
      <c r="BI31" s="5" t="str">
        <f t="shared" si="61"/>
        <v>х</v>
      </c>
      <c r="BJ31" s="5" t="str">
        <f t="shared" ref="BJ31:BJ51" si="62">"нет"</f>
        <v>нет</v>
      </c>
      <c r="BK31" s="5" t="str">
        <f t="shared" si="40"/>
        <v>х</v>
      </c>
      <c r="BL31" s="5" t="str">
        <f t="shared" si="40"/>
        <v>х</v>
      </c>
      <c r="BM31" s="5" t="str">
        <f t="shared" si="40"/>
        <v>х</v>
      </c>
      <c r="BN31" s="5" t="str">
        <f t="shared" ref="BN31:BN51" si="63">"нет"</f>
        <v>нет</v>
      </c>
      <c r="BO31" s="5" t="str">
        <f t="shared" si="41"/>
        <v>х</v>
      </c>
      <c r="BP31" s="5" t="str">
        <f t="shared" si="41"/>
        <v>х</v>
      </c>
      <c r="BQ31" s="5" t="str">
        <f t="shared" si="41"/>
        <v>х</v>
      </c>
      <c r="BR31" s="5" t="str">
        <f>"1981"</f>
        <v>1981</v>
      </c>
      <c r="BS31" s="5" t="str">
        <f>"54,00"</f>
        <v>54,00</v>
      </c>
      <c r="BT31" s="5" t="str">
        <f>"2019"</f>
        <v>2019</v>
      </c>
      <c r="BU31" s="5" t="str">
        <f t="shared" si="10"/>
        <v>нет</v>
      </c>
      <c r="BV31" s="5" t="str">
        <f t="shared" si="11"/>
        <v>x</v>
      </c>
      <c r="BW31" s="5" t="str">
        <f t="shared" si="11"/>
        <v>x</v>
      </c>
      <c r="BX31" s="5" t="str">
        <f t="shared" si="11"/>
        <v>x</v>
      </c>
      <c r="BY31" s="5" t="str">
        <f t="shared" si="12"/>
        <v>нет</v>
      </c>
      <c r="BZ31" s="5" t="str">
        <f>"1981"</f>
        <v>1981</v>
      </c>
      <c r="CA31" s="5" t="str">
        <f>"55,00"</f>
        <v>55,00</v>
      </c>
      <c r="CB31" s="5" t="str">
        <f>"2019"</f>
        <v>2019</v>
      </c>
      <c r="CC31" s="5" t="str">
        <f>"1981"</f>
        <v>1981</v>
      </c>
      <c r="CD31" s="5" t="str">
        <f>"56,00"</f>
        <v>56,00</v>
      </c>
      <c r="CE31" s="5" t="str">
        <f>"2020"</f>
        <v>2020</v>
      </c>
      <c r="CF31" s="5" t="str">
        <f>"1981"</f>
        <v>1981</v>
      </c>
      <c r="CG31" s="5" t="str">
        <f>"55,00"</f>
        <v>55,00</v>
      </c>
      <c r="CH31" s="5" t="str">
        <f>"2019"</f>
        <v>2019</v>
      </c>
      <c r="CI31" s="5" t="str">
        <f>"55,00"</f>
        <v>55,00</v>
      </c>
      <c r="CJ31" s="5" t="str">
        <f>"2024"</f>
        <v>2024</v>
      </c>
    </row>
    <row r="32" spans="1:88" ht="11.25" customHeight="1">
      <c r="A32" s="3" t="str">
        <f>"1.19"</f>
        <v>1.19</v>
      </c>
      <c r="B32" s="4" t="str">
        <f>"г. Грязовец, пер. Северный 2-й, д.19"</f>
        <v>г. Грязовец, пер. Северный 2-й, д.19</v>
      </c>
      <c r="C32" s="7" t="str">
        <f>"1956"</f>
        <v>1956</v>
      </c>
      <c r="D32" s="5" t="str">
        <f>"1956"</f>
        <v>1956</v>
      </c>
      <c r="E32" s="5" t="str">
        <f>"68,00"</f>
        <v>68,00</v>
      </c>
      <c r="F32" s="5" t="str">
        <f>"2019"</f>
        <v>2019</v>
      </c>
      <c r="G32" s="5" t="str">
        <f t="shared" si="46"/>
        <v>нет</v>
      </c>
      <c r="H32" s="5" t="str">
        <f>""</f>
        <v/>
      </c>
      <c r="I32" s="5" t="str">
        <f>""</f>
        <v/>
      </c>
      <c r="J32" s="5" t="str">
        <f>""</f>
        <v/>
      </c>
      <c r="K32" s="5" t="str">
        <f t="shared" si="47"/>
        <v>нет</v>
      </c>
      <c r="L32" s="5" t="str">
        <f>""</f>
        <v/>
      </c>
      <c r="M32" s="5" t="str">
        <f>""</f>
        <v/>
      </c>
      <c r="N32" s="5" t="str">
        <f>""</f>
        <v/>
      </c>
      <c r="O32" s="8" t="str">
        <f t="shared" si="48"/>
        <v>х</v>
      </c>
      <c r="P32" s="5" t="str">
        <f t="shared" si="48"/>
        <v>х</v>
      </c>
      <c r="Q32" s="5" t="str">
        <f t="shared" si="48"/>
        <v>х</v>
      </c>
      <c r="R32" s="5" t="str">
        <f t="shared" si="49"/>
        <v>нет</v>
      </c>
      <c r="S32" s="5" t="str">
        <f t="shared" si="50"/>
        <v>х</v>
      </c>
      <c r="T32" s="5" t="str">
        <f t="shared" si="50"/>
        <v>х</v>
      </c>
      <c r="U32" s="5" t="str">
        <f t="shared" si="50"/>
        <v>х</v>
      </c>
      <c r="V32" s="5" t="str">
        <f t="shared" si="51"/>
        <v>нет</v>
      </c>
      <c r="W32" s="5" t="str">
        <f t="shared" si="52"/>
        <v>х</v>
      </c>
      <c r="X32" s="5" t="str">
        <f t="shared" si="52"/>
        <v>х</v>
      </c>
      <c r="Y32" s="9" t="str">
        <f t="shared" si="52"/>
        <v>х</v>
      </c>
      <c r="Z32" s="5" t="str">
        <f>""</f>
        <v/>
      </c>
      <c r="AA32" s="5" t="str">
        <f>"45,00"</f>
        <v>45,00</v>
      </c>
      <c r="AB32" s="5" t="str">
        <f>"2025"</f>
        <v>2025</v>
      </c>
      <c r="AC32" s="5" t="str">
        <f t="shared" si="53"/>
        <v>нет</v>
      </c>
      <c r="AD32" s="5" t="str">
        <f>""</f>
        <v/>
      </c>
      <c r="AE32" s="5" t="str">
        <f>""</f>
        <v/>
      </c>
      <c r="AF32" s="5" t="str">
        <f>""</f>
        <v/>
      </c>
      <c r="AG32" s="5" t="str">
        <f t="shared" si="54"/>
        <v>нет</v>
      </c>
      <c r="AH32" s="5" t="str">
        <f>""</f>
        <v/>
      </c>
      <c r="AI32" s="5" t="str">
        <f>""</f>
        <v/>
      </c>
      <c r="AJ32" s="5" t="str">
        <f>""</f>
        <v/>
      </c>
      <c r="AK32" s="8" t="str">
        <f t="shared" si="55"/>
        <v>х</v>
      </c>
      <c r="AL32" s="5" t="str">
        <f t="shared" si="55"/>
        <v>х</v>
      </c>
      <c r="AM32" s="5" t="str">
        <f t="shared" si="55"/>
        <v>х</v>
      </c>
      <c r="AN32" s="5" t="str">
        <f t="shared" si="56"/>
        <v>нет</v>
      </c>
      <c r="AO32" s="5" t="str">
        <f t="shared" si="42"/>
        <v>х</v>
      </c>
      <c r="AP32" s="5" t="str">
        <f t="shared" si="42"/>
        <v>х</v>
      </c>
      <c r="AQ32" s="5" t="str">
        <f t="shared" si="42"/>
        <v>х</v>
      </c>
      <c r="AR32" s="5" t="str">
        <f t="shared" si="57"/>
        <v>нет</v>
      </c>
      <c r="AS32" s="5" t="str">
        <f t="shared" si="43"/>
        <v>х</v>
      </c>
      <c r="AT32" s="5" t="str">
        <f t="shared" si="43"/>
        <v>х</v>
      </c>
      <c r="AU32" s="5" t="str">
        <f t="shared" si="43"/>
        <v>х</v>
      </c>
      <c r="AV32" s="5" t="str">
        <f t="shared" si="58"/>
        <v>х</v>
      </c>
      <c r="AW32" s="5" t="str">
        <f t="shared" si="58"/>
        <v>х</v>
      </c>
      <c r="AX32" s="5" t="str">
        <f t="shared" si="58"/>
        <v>х</v>
      </c>
      <c r="AY32" s="5" t="str">
        <f t="shared" si="59"/>
        <v>нет</v>
      </c>
      <c r="AZ32" s="5" t="str">
        <f t="shared" si="38"/>
        <v>х</v>
      </c>
      <c r="BA32" s="5" t="str">
        <f t="shared" si="38"/>
        <v>х</v>
      </c>
      <c r="BB32" s="5" t="str">
        <f t="shared" si="38"/>
        <v>х</v>
      </c>
      <c r="BC32" s="5" t="str">
        <f t="shared" si="60"/>
        <v>нет</v>
      </c>
      <c r="BD32" s="5" t="str">
        <f t="shared" si="39"/>
        <v>х</v>
      </c>
      <c r="BE32" s="5" t="str">
        <f t="shared" si="39"/>
        <v>х</v>
      </c>
      <c r="BF32" s="5" t="str">
        <f t="shared" si="39"/>
        <v>х</v>
      </c>
      <c r="BG32" s="5" t="str">
        <f t="shared" si="61"/>
        <v>х</v>
      </c>
      <c r="BH32" s="5" t="str">
        <f t="shared" si="61"/>
        <v>х</v>
      </c>
      <c r="BI32" s="5" t="str">
        <f t="shared" si="61"/>
        <v>х</v>
      </c>
      <c r="BJ32" s="5" t="str">
        <f t="shared" si="62"/>
        <v>нет</v>
      </c>
      <c r="BK32" s="5" t="str">
        <f t="shared" si="40"/>
        <v>х</v>
      </c>
      <c r="BL32" s="5" t="str">
        <f t="shared" si="40"/>
        <v>х</v>
      </c>
      <c r="BM32" s="5" t="str">
        <f t="shared" si="40"/>
        <v>х</v>
      </c>
      <c r="BN32" s="5" t="str">
        <f t="shared" si="63"/>
        <v>нет</v>
      </c>
      <c r="BO32" s="5" t="str">
        <f t="shared" si="41"/>
        <v>х</v>
      </c>
      <c r="BP32" s="5" t="str">
        <f t="shared" si="41"/>
        <v>х</v>
      </c>
      <c r="BQ32" s="5" t="str">
        <f t="shared" si="41"/>
        <v>х</v>
      </c>
      <c r="BR32" s="5" t="str">
        <f>"1956"</f>
        <v>1956</v>
      </c>
      <c r="BS32" s="5" t="str">
        <f>"73,00"</f>
        <v>73,00</v>
      </c>
      <c r="BT32" s="5" t="str">
        <f>"2019"</f>
        <v>2019</v>
      </c>
      <c r="BU32" s="5" t="str">
        <f t="shared" si="10"/>
        <v>нет</v>
      </c>
      <c r="BV32" s="5" t="str">
        <f t="shared" si="11"/>
        <v>x</v>
      </c>
      <c r="BW32" s="5" t="str">
        <f t="shared" si="11"/>
        <v>x</v>
      </c>
      <c r="BX32" s="5" t="str">
        <f t="shared" si="11"/>
        <v>x</v>
      </c>
      <c r="BY32" s="5" t="str">
        <f t="shared" si="12"/>
        <v>нет</v>
      </c>
      <c r="BZ32" s="5" t="str">
        <f>"1956"</f>
        <v>1956</v>
      </c>
      <c r="CA32" s="5" t="str">
        <f>"72,00"</f>
        <v>72,00</v>
      </c>
      <c r="CB32" s="5" t="str">
        <f>"2019"</f>
        <v>2019</v>
      </c>
      <c r="CC32" s="5" t="str">
        <f>"1956"</f>
        <v>1956</v>
      </c>
      <c r="CD32" s="5" t="str">
        <f>"72,00"</f>
        <v>72,00</v>
      </c>
      <c r="CE32" s="5" t="str">
        <f>"2019"</f>
        <v>2019</v>
      </c>
      <c r="CF32" s="5" t="str">
        <f>"1956"</f>
        <v>1956</v>
      </c>
      <c r="CG32" s="5" t="str">
        <f>"73,00"</f>
        <v>73,00</v>
      </c>
      <c r="CH32" s="5" t="str">
        <f>"2019"</f>
        <v>2019</v>
      </c>
      <c r="CI32" s="5" t="str">
        <f>"73,00"</f>
        <v>73,00</v>
      </c>
      <c r="CJ32" s="5" t="str">
        <f>"2023"</f>
        <v>2023</v>
      </c>
    </row>
    <row r="33" spans="1:88" ht="11.25" customHeight="1">
      <c r="A33" s="3" t="str">
        <f>"1.20"</f>
        <v>1.20</v>
      </c>
      <c r="B33" s="4" t="str">
        <f>"г. Грязовец, пер. Северный 2-й, д.36"</f>
        <v>г. Грязовец, пер. Северный 2-й, д.36</v>
      </c>
      <c r="C33" s="7" t="str">
        <f>"1966"</f>
        <v>1966</v>
      </c>
      <c r="D33" s="5" t="str">
        <f>"1966"</f>
        <v>1966</v>
      </c>
      <c r="E33" s="5" t="str">
        <f>"32,00"</f>
        <v>32,00</v>
      </c>
      <c r="F33" s="5" t="str">
        <f>"2024"</f>
        <v>2024</v>
      </c>
      <c r="G33" s="5" t="str">
        <f t="shared" si="46"/>
        <v>нет</v>
      </c>
      <c r="H33" s="5" t="str">
        <f>""</f>
        <v/>
      </c>
      <c r="I33" s="5" t="str">
        <f>""</f>
        <v/>
      </c>
      <c r="J33" s="5" t="str">
        <f>""</f>
        <v/>
      </c>
      <c r="K33" s="5" t="str">
        <f t="shared" si="47"/>
        <v>нет</v>
      </c>
      <c r="L33" s="5" t="str">
        <f>""</f>
        <v/>
      </c>
      <c r="M33" s="5" t="str">
        <f>""</f>
        <v/>
      </c>
      <c r="N33" s="5" t="str">
        <f>""</f>
        <v/>
      </c>
      <c r="O33" s="8" t="str">
        <f t="shared" si="48"/>
        <v>х</v>
      </c>
      <c r="P33" s="5" t="str">
        <f t="shared" si="48"/>
        <v>х</v>
      </c>
      <c r="Q33" s="5" t="str">
        <f t="shared" si="48"/>
        <v>х</v>
      </c>
      <c r="R33" s="5" t="str">
        <f t="shared" si="49"/>
        <v>нет</v>
      </c>
      <c r="S33" s="5" t="str">
        <f t="shared" si="50"/>
        <v>х</v>
      </c>
      <c r="T33" s="5" t="str">
        <f t="shared" si="50"/>
        <v>х</v>
      </c>
      <c r="U33" s="5" t="str">
        <f t="shared" si="50"/>
        <v>х</v>
      </c>
      <c r="V33" s="5" t="str">
        <f t="shared" si="51"/>
        <v>нет</v>
      </c>
      <c r="W33" s="5" t="str">
        <f t="shared" si="52"/>
        <v>х</v>
      </c>
      <c r="X33" s="5" t="str">
        <f t="shared" si="52"/>
        <v>х</v>
      </c>
      <c r="Y33" s="9" t="str">
        <f t="shared" si="52"/>
        <v>х</v>
      </c>
      <c r="Z33" s="5" t="str">
        <f>""</f>
        <v/>
      </c>
      <c r="AA33" s="5" t="str">
        <f>"30,00"</f>
        <v>30,00</v>
      </c>
      <c r="AB33" s="5" t="str">
        <f>"2033"</f>
        <v>2033</v>
      </c>
      <c r="AC33" s="5" t="str">
        <f t="shared" si="53"/>
        <v>нет</v>
      </c>
      <c r="AD33" s="5" t="str">
        <f>""</f>
        <v/>
      </c>
      <c r="AE33" s="5" t="str">
        <f>""</f>
        <v/>
      </c>
      <c r="AF33" s="5" t="str">
        <f>""</f>
        <v/>
      </c>
      <c r="AG33" s="5" t="str">
        <f t="shared" si="54"/>
        <v>нет</v>
      </c>
      <c r="AH33" s="5" t="str">
        <f>""</f>
        <v/>
      </c>
      <c r="AI33" s="5" t="str">
        <f>""</f>
        <v/>
      </c>
      <c r="AJ33" s="5" t="str">
        <f>""</f>
        <v/>
      </c>
      <c r="AK33" s="8" t="str">
        <f t="shared" si="55"/>
        <v>х</v>
      </c>
      <c r="AL33" s="5" t="str">
        <f t="shared" si="55"/>
        <v>х</v>
      </c>
      <c r="AM33" s="5" t="str">
        <f t="shared" si="55"/>
        <v>х</v>
      </c>
      <c r="AN33" s="5" t="str">
        <f t="shared" si="56"/>
        <v>нет</v>
      </c>
      <c r="AO33" s="5" t="str">
        <f t="shared" si="42"/>
        <v>х</v>
      </c>
      <c r="AP33" s="5" t="str">
        <f t="shared" si="42"/>
        <v>х</v>
      </c>
      <c r="AQ33" s="5" t="str">
        <f t="shared" si="42"/>
        <v>х</v>
      </c>
      <c r="AR33" s="5" t="str">
        <f t="shared" si="57"/>
        <v>нет</v>
      </c>
      <c r="AS33" s="5" t="str">
        <f t="shared" si="43"/>
        <v>х</v>
      </c>
      <c r="AT33" s="5" t="str">
        <f t="shared" si="43"/>
        <v>х</v>
      </c>
      <c r="AU33" s="5" t="str">
        <f t="shared" si="43"/>
        <v>х</v>
      </c>
      <c r="AV33" s="5" t="str">
        <f t="shared" si="58"/>
        <v>х</v>
      </c>
      <c r="AW33" s="5" t="str">
        <f t="shared" si="58"/>
        <v>х</v>
      </c>
      <c r="AX33" s="5" t="str">
        <f t="shared" si="58"/>
        <v>х</v>
      </c>
      <c r="AY33" s="5" t="str">
        <f t="shared" si="59"/>
        <v>нет</v>
      </c>
      <c r="AZ33" s="5" t="str">
        <f t="shared" si="38"/>
        <v>х</v>
      </c>
      <c r="BA33" s="5" t="str">
        <f t="shared" si="38"/>
        <v>х</v>
      </c>
      <c r="BB33" s="5" t="str">
        <f t="shared" si="38"/>
        <v>х</v>
      </c>
      <c r="BC33" s="5" t="str">
        <f t="shared" si="60"/>
        <v>нет</v>
      </c>
      <c r="BD33" s="5" t="str">
        <f t="shared" si="39"/>
        <v>х</v>
      </c>
      <c r="BE33" s="5" t="str">
        <f t="shared" si="39"/>
        <v>х</v>
      </c>
      <c r="BF33" s="5" t="str">
        <f t="shared" si="39"/>
        <v>х</v>
      </c>
      <c r="BG33" s="5" t="str">
        <f t="shared" si="61"/>
        <v>х</v>
      </c>
      <c r="BH33" s="5" t="str">
        <f t="shared" si="61"/>
        <v>х</v>
      </c>
      <c r="BI33" s="5" t="str">
        <f t="shared" si="61"/>
        <v>х</v>
      </c>
      <c r="BJ33" s="5" t="str">
        <f t="shared" si="62"/>
        <v>нет</v>
      </c>
      <c r="BK33" s="5" t="str">
        <f t="shared" si="40"/>
        <v>х</v>
      </c>
      <c r="BL33" s="5" t="str">
        <f t="shared" si="40"/>
        <v>х</v>
      </c>
      <c r="BM33" s="5" t="str">
        <f t="shared" si="40"/>
        <v>х</v>
      </c>
      <c r="BN33" s="5" t="str">
        <f t="shared" si="63"/>
        <v>нет</v>
      </c>
      <c r="BO33" s="5" t="str">
        <f t="shared" si="41"/>
        <v>х</v>
      </c>
      <c r="BP33" s="5" t="str">
        <f t="shared" si="41"/>
        <v>х</v>
      </c>
      <c r="BQ33" s="5" t="str">
        <f t="shared" si="41"/>
        <v>х</v>
      </c>
      <c r="BR33" s="5" t="str">
        <f>"1966"</f>
        <v>1966</v>
      </c>
      <c r="BS33" s="5" t="str">
        <f>"39,00"</f>
        <v>39,00</v>
      </c>
      <c r="BT33" s="5" t="str">
        <f>"2022"</f>
        <v>2022</v>
      </c>
      <c r="BU33" s="5" t="str">
        <f t="shared" si="10"/>
        <v>нет</v>
      </c>
      <c r="BV33" s="5" t="str">
        <f t="shared" si="11"/>
        <v>x</v>
      </c>
      <c r="BW33" s="5" t="str">
        <f t="shared" si="11"/>
        <v>x</v>
      </c>
      <c r="BX33" s="5" t="str">
        <f t="shared" si="11"/>
        <v>x</v>
      </c>
      <c r="BY33" s="5" t="str">
        <f t="shared" si="12"/>
        <v>нет</v>
      </c>
      <c r="BZ33" s="5" t="str">
        <f>"1966"</f>
        <v>1966</v>
      </c>
      <c r="CA33" s="5" t="str">
        <f>"40,00"</f>
        <v>40,00</v>
      </c>
      <c r="CB33" s="5" t="str">
        <f>"2021"</f>
        <v>2021</v>
      </c>
      <c r="CC33" s="5" t="str">
        <f>"1966"</f>
        <v>1966</v>
      </c>
      <c r="CD33" s="5" t="str">
        <f>"40,00"</f>
        <v>40,00</v>
      </c>
      <c r="CE33" s="5" t="str">
        <f>"2021"</f>
        <v>2021</v>
      </c>
      <c r="CF33" s="5" t="str">
        <f>"1966"</f>
        <v>1966</v>
      </c>
      <c r="CG33" s="5" t="str">
        <f>"41,00"</f>
        <v>41,00</v>
      </c>
      <c r="CH33" s="5" t="str">
        <f>"2020"</f>
        <v>2020</v>
      </c>
      <c r="CI33" s="5" t="str">
        <f>"40,00"</f>
        <v>40,00</v>
      </c>
      <c r="CJ33" s="5" t="str">
        <f>"2028"</f>
        <v>2028</v>
      </c>
    </row>
    <row r="34" spans="1:88" ht="11.25" customHeight="1">
      <c r="A34" s="3" t="str">
        <f>"1.21"</f>
        <v>1.21</v>
      </c>
      <c r="B34" s="4" t="str">
        <f>"г. Грязовец, пер. Северный 2-й, д.40"</f>
        <v>г. Грязовец, пер. Северный 2-й, д.40</v>
      </c>
      <c r="C34" s="7" t="str">
        <f>"1970"</f>
        <v>1970</v>
      </c>
      <c r="D34" s="5" t="str">
        <f>"1970"</f>
        <v>1970</v>
      </c>
      <c r="E34" s="5" t="str">
        <f>"18,00"</f>
        <v>18,00</v>
      </c>
      <c r="F34" s="5" t="str">
        <f>"2027"</f>
        <v>2027</v>
      </c>
      <c r="G34" s="5" t="str">
        <f t="shared" si="46"/>
        <v>нет</v>
      </c>
      <c r="H34" s="5" t="str">
        <f>""</f>
        <v/>
      </c>
      <c r="I34" s="5" t="str">
        <f>""</f>
        <v/>
      </c>
      <c r="J34" s="5" t="str">
        <f>""</f>
        <v/>
      </c>
      <c r="K34" s="5" t="str">
        <f t="shared" si="47"/>
        <v>нет</v>
      </c>
      <c r="L34" s="5" t="str">
        <f>""</f>
        <v/>
      </c>
      <c r="M34" s="5" t="str">
        <f>""</f>
        <v/>
      </c>
      <c r="N34" s="5" t="str">
        <f>""</f>
        <v/>
      </c>
      <c r="O34" s="8" t="str">
        <f t="shared" si="48"/>
        <v>х</v>
      </c>
      <c r="P34" s="5" t="str">
        <f t="shared" si="48"/>
        <v>х</v>
      </c>
      <c r="Q34" s="5" t="str">
        <f t="shared" si="48"/>
        <v>х</v>
      </c>
      <c r="R34" s="5" t="str">
        <f t="shared" si="49"/>
        <v>нет</v>
      </c>
      <c r="S34" s="5" t="str">
        <f t="shared" si="50"/>
        <v>х</v>
      </c>
      <c r="T34" s="5" t="str">
        <f t="shared" si="50"/>
        <v>х</v>
      </c>
      <c r="U34" s="5" t="str">
        <f t="shared" si="50"/>
        <v>х</v>
      </c>
      <c r="V34" s="5" t="str">
        <f t="shared" si="51"/>
        <v>нет</v>
      </c>
      <c r="W34" s="5" t="str">
        <f t="shared" si="52"/>
        <v>х</v>
      </c>
      <c r="X34" s="5" t="str">
        <f t="shared" si="52"/>
        <v>х</v>
      </c>
      <c r="Y34" s="9" t="str">
        <f t="shared" si="52"/>
        <v>х</v>
      </c>
      <c r="Z34" s="5" t="str">
        <f>""</f>
        <v/>
      </c>
      <c r="AA34" s="5" t="str">
        <f>"15,00"</f>
        <v>15,00</v>
      </c>
      <c r="AB34" s="5" t="str">
        <f>"2033"</f>
        <v>2033</v>
      </c>
      <c r="AC34" s="5" t="str">
        <f t="shared" si="53"/>
        <v>нет</v>
      </c>
      <c r="AD34" s="5" t="str">
        <f>""</f>
        <v/>
      </c>
      <c r="AE34" s="5" t="str">
        <f>""</f>
        <v/>
      </c>
      <c r="AF34" s="5" t="str">
        <f>""</f>
        <v/>
      </c>
      <c r="AG34" s="5" t="str">
        <f t="shared" si="54"/>
        <v>нет</v>
      </c>
      <c r="AH34" s="5" t="str">
        <f>""</f>
        <v/>
      </c>
      <c r="AI34" s="5" t="str">
        <f>""</f>
        <v/>
      </c>
      <c r="AJ34" s="5" t="str">
        <f>""</f>
        <v/>
      </c>
      <c r="AK34" s="8" t="str">
        <f t="shared" si="55"/>
        <v>х</v>
      </c>
      <c r="AL34" s="5" t="str">
        <f t="shared" si="55"/>
        <v>х</v>
      </c>
      <c r="AM34" s="5" t="str">
        <f t="shared" si="55"/>
        <v>х</v>
      </c>
      <c r="AN34" s="5" t="str">
        <f t="shared" si="56"/>
        <v>нет</v>
      </c>
      <c r="AO34" s="5" t="str">
        <f t="shared" si="42"/>
        <v>х</v>
      </c>
      <c r="AP34" s="5" t="str">
        <f t="shared" si="42"/>
        <v>х</v>
      </c>
      <c r="AQ34" s="5" t="str">
        <f t="shared" si="42"/>
        <v>х</v>
      </c>
      <c r="AR34" s="5" t="str">
        <f t="shared" si="57"/>
        <v>нет</v>
      </c>
      <c r="AS34" s="5" t="str">
        <f t="shared" si="43"/>
        <v>х</v>
      </c>
      <c r="AT34" s="5" t="str">
        <f t="shared" si="43"/>
        <v>х</v>
      </c>
      <c r="AU34" s="5" t="str">
        <f t="shared" si="43"/>
        <v>х</v>
      </c>
      <c r="AV34" s="5" t="str">
        <f t="shared" si="58"/>
        <v>х</v>
      </c>
      <c r="AW34" s="5" t="str">
        <f t="shared" si="58"/>
        <v>х</v>
      </c>
      <c r="AX34" s="5" t="str">
        <f t="shared" si="58"/>
        <v>х</v>
      </c>
      <c r="AY34" s="5" t="str">
        <f t="shared" si="59"/>
        <v>нет</v>
      </c>
      <c r="AZ34" s="5" t="str">
        <f t="shared" si="38"/>
        <v>х</v>
      </c>
      <c r="BA34" s="5" t="str">
        <f t="shared" si="38"/>
        <v>х</v>
      </c>
      <c r="BB34" s="5" t="str">
        <f t="shared" si="38"/>
        <v>х</v>
      </c>
      <c r="BC34" s="5" t="str">
        <f t="shared" si="60"/>
        <v>нет</v>
      </c>
      <c r="BD34" s="5" t="str">
        <f t="shared" si="39"/>
        <v>х</v>
      </c>
      <c r="BE34" s="5" t="str">
        <f t="shared" si="39"/>
        <v>х</v>
      </c>
      <c r="BF34" s="5" t="str">
        <f t="shared" si="39"/>
        <v>х</v>
      </c>
      <c r="BG34" s="5" t="str">
        <f t="shared" si="61"/>
        <v>х</v>
      </c>
      <c r="BH34" s="5" t="str">
        <f t="shared" si="61"/>
        <v>х</v>
      </c>
      <c r="BI34" s="5" t="str">
        <f t="shared" si="61"/>
        <v>х</v>
      </c>
      <c r="BJ34" s="5" t="str">
        <f t="shared" si="62"/>
        <v>нет</v>
      </c>
      <c r="BK34" s="5" t="str">
        <f t="shared" si="40"/>
        <v>х</v>
      </c>
      <c r="BL34" s="5" t="str">
        <f t="shared" si="40"/>
        <v>х</v>
      </c>
      <c r="BM34" s="5" t="str">
        <f t="shared" si="40"/>
        <v>х</v>
      </c>
      <c r="BN34" s="5" t="str">
        <f t="shared" si="63"/>
        <v>нет</v>
      </c>
      <c r="BO34" s="5" t="str">
        <f t="shared" si="41"/>
        <v>х</v>
      </c>
      <c r="BP34" s="5" t="str">
        <f t="shared" si="41"/>
        <v>х</v>
      </c>
      <c r="BQ34" s="5" t="str">
        <f t="shared" si="41"/>
        <v>х</v>
      </c>
      <c r="BR34" s="5" t="str">
        <f>"1970"</f>
        <v>1970</v>
      </c>
      <c r="BS34" s="5" t="str">
        <f>"22,00"</f>
        <v>22,00</v>
      </c>
      <c r="BT34" s="5" t="str">
        <f>"2024"</f>
        <v>2024</v>
      </c>
      <c r="BU34" s="5" t="str">
        <f t="shared" si="10"/>
        <v>нет</v>
      </c>
      <c r="BV34" s="5" t="str">
        <f t="shared" ref="BV34:BX53" si="64">"x"</f>
        <v>x</v>
      </c>
      <c r="BW34" s="5" t="str">
        <f t="shared" si="64"/>
        <v>x</v>
      </c>
      <c r="BX34" s="5" t="str">
        <f t="shared" si="64"/>
        <v>x</v>
      </c>
      <c r="BY34" s="5" t="str">
        <f t="shared" si="12"/>
        <v>нет</v>
      </c>
      <c r="BZ34" s="5" t="str">
        <f>"1970"</f>
        <v>1970</v>
      </c>
      <c r="CA34" s="5" t="str">
        <f>"22,00"</f>
        <v>22,00</v>
      </c>
      <c r="CB34" s="5" t="str">
        <f>"2025"</f>
        <v>2025</v>
      </c>
      <c r="CC34" s="5" t="str">
        <f>"1970"</f>
        <v>1970</v>
      </c>
      <c r="CD34" s="5" t="str">
        <f>"18,00"</f>
        <v>18,00</v>
      </c>
      <c r="CE34" s="5" t="str">
        <f>"2027"</f>
        <v>2027</v>
      </c>
      <c r="CF34" s="5" t="str">
        <f>"1970"</f>
        <v>1970</v>
      </c>
      <c r="CG34" s="5" t="str">
        <f>"22,50"</f>
        <v>22,50</v>
      </c>
      <c r="CH34" s="5" t="str">
        <f>"2026"</f>
        <v>2026</v>
      </c>
      <c r="CI34" s="5" t="str">
        <f>"22,00"</f>
        <v>22,00</v>
      </c>
      <c r="CJ34" s="5" t="str">
        <f>"2042"</f>
        <v>2042</v>
      </c>
    </row>
    <row r="35" spans="1:88" ht="11.25" customHeight="1">
      <c r="A35" s="3" t="str">
        <f>"1.22"</f>
        <v>1.22</v>
      </c>
      <c r="B35" s="4" t="str">
        <f>"г. Грязовец, пер. Северный 2-й, д.45"</f>
        <v>г. Грязовец, пер. Северный 2-й, д.45</v>
      </c>
      <c r="C35" s="7" t="str">
        <f>"1963"</f>
        <v>1963</v>
      </c>
      <c r="D35" s="5" t="str">
        <f>"1963"</f>
        <v>1963</v>
      </c>
      <c r="E35" s="5" t="str">
        <f>"28,00"</f>
        <v>28,00</v>
      </c>
      <c r="F35" s="5" t="str">
        <f>"2026"</f>
        <v>2026</v>
      </c>
      <c r="G35" s="5" t="str">
        <f t="shared" si="46"/>
        <v>нет</v>
      </c>
      <c r="H35" s="5" t="str">
        <f>""</f>
        <v/>
      </c>
      <c r="I35" s="5" t="str">
        <f>""</f>
        <v/>
      </c>
      <c r="J35" s="5" t="str">
        <f>""</f>
        <v/>
      </c>
      <c r="K35" s="5" t="str">
        <f t="shared" si="47"/>
        <v>нет</v>
      </c>
      <c r="L35" s="5" t="str">
        <f>""</f>
        <v/>
      </c>
      <c r="M35" s="5" t="str">
        <f>""</f>
        <v/>
      </c>
      <c r="N35" s="5" t="str">
        <f>""</f>
        <v/>
      </c>
      <c r="O35" s="8" t="str">
        <f>"1963"</f>
        <v>1963</v>
      </c>
      <c r="P35" s="5" t="str">
        <f>"27,00"</f>
        <v>27,00</v>
      </c>
      <c r="Q35" s="5" t="str">
        <f>"2027"</f>
        <v>2027</v>
      </c>
      <c r="R35" s="5" t="str">
        <f t="shared" si="49"/>
        <v>нет</v>
      </c>
      <c r="S35" s="5" t="str">
        <f t="shared" si="50"/>
        <v>х</v>
      </c>
      <c r="T35" s="5" t="str">
        <f t="shared" si="50"/>
        <v>х</v>
      </c>
      <c r="U35" s="5" t="str">
        <f t="shared" si="50"/>
        <v>х</v>
      </c>
      <c r="V35" s="5" t="str">
        <f t="shared" si="51"/>
        <v>нет</v>
      </c>
      <c r="W35" s="5" t="str">
        <f t="shared" si="52"/>
        <v>х</v>
      </c>
      <c r="X35" s="5" t="str">
        <f t="shared" si="52"/>
        <v>х</v>
      </c>
      <c r="Y35" s="9" t="str">
        <f t="shared" si="52"/>
        <v>х</v>
      </c>
      <c r="Z35" s="5" t="str">
        <f>"1963"</f>
        <v>1963</v>
      </c>
      <c r="AA35" s="5" t="str">
        <f>"26,00"</f>
        <v>26,00</v>
      </c>
      <c r="AB35" s="5" t="str">
        <f>"2027"</f>
        <v>2027</v>
      </c>
      <c r="AC35" s="5" t="str">
        <f t="shared" si="53"/>
        <v>нет</v>
      </c>
      <c r="AD35" s="5" t="str">
        <f>""</f>
        <v/>
      </c>
      <c r="AE35" s="5" t="str">
        <f>""</f>
        <v/>
      </c>
      <c r="AF35" s="5" t="str">
        <f>""</f>
        <v/>
      </c>
      <c r="AG35" s="5" t="str">
        <f t="shared" si="54"/>
        <v>нет</v>
      </c>
      <c r="AH35" s="5" t="str">
        <f>""</f>
        <v/>
      </c>
      <c r="AI35" s="5" t="str">
        <f>""</f>
        <v/>
      </c>
      <c r="AJ35" s="5" t="str">
        <f>""</f>
        <v/>
      </c>
      <c r="AK35" s="8" t="str">
        <f>"1963"</f>
        <v>1963</v>
      </c>
      <c r="AL35" s="5" t="str">
        <f>"25,00"</f>
        <v>25,00</v>
      </c>
      <c r="AM35" s="5" t="str">
        <f>"2026"</f>
        <v>2026</v>
      </c>
      <c r="AN35" s="5" t="str">
        <f t="shared" si="56"/>
        <v>нет</v>
      </c>
      <c r="AO35" s="5" t="str">
        <f t="shared" si="42"/>
        <v>х</v>
      </c>
      <c r="AP35" s="5" t="str">
        <f t="shared" si="42"/>
        <v>х</v>
      </c>
      <c r="AQ35" s="5" t="str">
        <f t="shared" si="42"/>
        <v>х</v>
      </c>
      <c r="AR35" s="5" t="str">
        <f t="shared" si="57"/>
        <v>нет</v>
      </c>
      <c r="AS35" s="5" t="str">
        <f t="shared" si="43"/>
        <v>х</v>
      </c>
      <c r="AT35" s="5" t="str">
        <f t="shared" si="43"/>
        <v>х</v>
      </c>
      <c r="AU35" s="5" t="str">
        <f t="shared" si="43"/>
        <v>х</v>
      </c>
      <c r="AV35" s="5" t="str">
        <f>"1963"</f>
        <v>1963</v>
      </c>
      <c r="AW35" s="5" t="str">
        <f>"28,00"</f>
        <v>28,00</v>
      </c>
      <c r="AX35" s="5" t="str">
        <f>"2020"</f>
        <v>2020</v>
      </c>
      <c r="AY35" s="5" t="str">
        <f t="shared" si="59"/>
        <v>нет</v>
      </c>
      <c r="AZ35" s="5" t="str">
        <f t="shared" si="38"/>
        <v>х</v>
      </c>
      <c r="BA35" s="5" t="str">
        <f t="shared" si="38"/>
        <v>х</v>
      </c>
      <c r="BB35" s="5" t="str">
        <f t="shared" si="38"/>
        <v>х</v>
      </c>
      <c r="BC35" s="5" t="str">
        <f t="shared" si="60"/>
        <v>нет</v>
      </c>
      <c r="BD35" s="5" t="str">
        <f t="shared" si="39"/>
        <v>х</v>
      </c>
      <c r="BE35" s="5" t="str">
        <f t="shared" si="39"/>
        <v>х</v>
      </c>
      <c r="BF35" s="5" t="str">
        <f t="shared" si="39"/>
        <v>х</v>
      </c>
      <c r="BG35" s="5" t="str">
        <f>"1963"</f>
        <v>1963</v>
      </c>
      <c r="BH35" s="5" t="str">
        <f>"29,00"</f>
        <v>29,00</v>
      </c>
      <c r="BI35" s="5" t="str">
        <f>"2024"</f>
        <v>2024</v>
      </c>
      <c r="BJ35" s="5" t="str">
        <f t="shared" si="62"/>
        <v>нет</v>
      </c>
      <c r="BK35" s="5" t="str">
        <f t="shared" si="40"/>
        <v>х</v>
      </c>
      <c r="BL35" s="5" t="str">
        <f t="shared" si="40"/>
        <v>х</v>
      </c>
      <c r="BM35" s="5" t="str">
        <f t="shared" si="40"/>
        <v>х</v>
      </c>
      <c r="BN35" s="5" t="str">
        <f t="shared" si="63"/>
        <v>нет</v>
      </c>
      <c r="BO35" s="5" t="str">
        <f t="shared" si="41"/>
        <v>х</v>
      </c>
      <c r="BP35" s="5" t="str">
        <f t="shared" si="41"/>
        <v>х</v>
      </c>
      <c r="BQ35" s="5" t="str">
        <f t="shared" si="41"/>
        <v>х</v>
      </c>
      <c r="BR35" s="5" t="str">
        <f>"1963"</f>
        <v>1963</v>
      </c>
      <c r="BS35" s="5" t="str">
        <f>"33,00"</f>
        <v>33,00</v>
      </c>
      <c r="BT35" s="5" t="str">
        <f>"2024"</f>
        <v>2024</v>
      </c>
      <c r="BU35" s="5" t="str">
        <f t="shared" si="10"/>
        <v>нет</v>
      </c>
      <c r="BV35" s="5" t="str">
        <f t="shared" si="64"/>
        <v>x</v>
      </c>
      <c r="BW35" s="5" t="str">
        <f t="shared" si="64"/>
        <v>x</v>
      </c>
      <c r="BX35" s="5" t="str">
        <f t="shared" si="64"/>
        <v>x</v>
      </c>
      <c r="BY35" s="5" t="str">
        <f t="shared" si="12"/>
        <v>нет</v>
      </c>
      <c r="BZ35" s="5" t="str">
        <f>"1963"</f>
        <v>1963</v>
      </c>
      <c r="CA35" s="5" t="str">
        <f>"49,00"</f>
        <v>49,00</v>
      </c>
      <c r="CB35" s="5" t="str">
        <f>"2016"</f>
        <v>2016</v>
      </c>
      <c r="CC35" s="5" t="str">
        <f>"1963"</f>
        <v>1963</v>
      </c>
      <c r="CD35" s="5" t="str">
        <f>"32,00"</f>
        <v>32,00</v>
      </c>
      <c r="CE35" s="5" t="str">
        <f>"2021"</f>
        <v>2021</v>
      </c>
      <c r="CF35" s="5" t="str">
        <f>"1963"</f>
        <v>1963</v>
      </c>
      <c r="CG35" s="5" t="str">
        <f>"34,00"</f>
        <v>34,00</v>
      </c>
      <c r="CH35" s="5" t="str">
        <f>"2022"</f>
        <v>2022</v>
      </c>
      <c r="CI35" s="5" t="str">
        <f>"32,00"</f>
        <v>32,00</v>
      </c>
      <c r="CJ35" s="5" t="str">
        <f>"2030"</f>
        <v>2030</v>
      </c>
    </row>
    <row r="36" spans="1:88" ht="11.25" customHeight="1">
      <c r="A36" s="3" t="str">
        <f>"1.23"</f>
        <v>1.23</v>
      </c>
      <c r="B36" s="4" t="str">
        <f>"г. Грязовец, ул. Беляева, д.13"</f>
        <v>г. Грязовец, ул. Беляева, д.13</v>
      </c>
      <c r="C36" s="7" t="str">
        <f>"1988"</f>
        <v>1988</v>
      </c>
      <c r="D36" s="5" t="str">
        <f>""</f>
        <v/>
      </c>
      <c r="E36" s="5" t="str">
        <f>"10,00"</f>
        <v>10,00</v>
      </c>
      <c r="F36" s="5" t="str">
        <f>"2028"</f>
        <v>2028</v>
      </c>
      <c r="G36" s="5" t="str">
        <f t="shared" si="46"/>
        <v>нет</v>
      </c>
      <c r="H36" s="5" t="str">
        <f>""</f>
        <v/>
      </c>
      <c r="I36" s="5" t="str">
        <f>""</f>
        <v/>
      </c>
      <c r="J36" s="5" t="str">
        <f>""</f>
        <v/>
      </c>
      <c r="K36" s="5" t="str">
        <f t="shared" si="47"/>
        <v>нет</v>
      </c>
      <c r="L36" s="5" t="str">
        <f>""</f>
        <v/>
      </c>
      <c r="M36" s="5" t="str">
        <f>""</f>
        <v/>
      </c>
      <c r="N36" s="5" t="str">
        <f>""</f>
        <v/>
      </c>
      <c r="O36" s="8" t="str">
        <f>""</f>
        <v/>
      </c>
      <c r="P36" s="5" t="str">
        <f>"10,00"</f>
        <v>10,00</v>
      </c>
      <c r="Q36" s="5" t="str">
        <f>"2029"</f>
        <v>2029</v>
      </c>
      <c r="R36" s="5" t="str">
        <f t="shared" si="49"/>
        <v>нет</v>
      </c>
      <c r="S36" s="5" t="str">
        <f>""</f>
        <v/>
      </c>
      <c r="T36" s="5" t="str">
        <f>""</f>
        <v/>
      </c>
      <c r="U36" s="5" t="str">
        <f>""</f>
        <v/>
      </c>
      <c r="V36" s="5" t="str">
        <f t="shared" si="51"/>
        <v>нет</v>
      </c>
      <c r="W36" s="5" t="str">
        <f>""</f>
        <v/>
      </c>
      <c r="X36" s="5" t="str">
        <f>""</f>
        <v/>
      </c>
      <c r="Y36" s="9" t="str">
        <f>""</f>
        <v/>
      </c>
      <c r="Z36" s="5" t="str">
        <f>""</f>
        <v/>
      </c>
      <c r="AA36" s="5" t="str">
        <f>"5,00"</f>
        <v>5,00</v>
      </c>
      <c r="AB36" s="5" t="str">
        <f>"2030"</f>
        <v>2030</v>
      </c>
      <c r="AC36" s="5" t="str">
        <f t="shared" si="53"/>
        <v>нет</v>
      </c>
      <c r="AD36" s="5" t="str">
        <f>""</f>
        <v/>
      </c>
      <c r="AE36" s="5" t="str">
        <f>""</f>
        <v/>
      </c>
      <c r="AF36" s="5" t="str">
        <f>""</f>
        <v/>
      </c>
      <c r="AG36" s="5" t="str">
        <f t="shared" si="54"/>
        <v>нет</v>
      </c>
      <c r="AH36" s="5" t="str">
        <f>""</f>
        <v/>
      </c>
      <c r="AI36" s="5" t="str">
        <f>""</f>
        <v/>
      </c>
      <c r="AJ36" s="5" t="str">
        <f>""</f>
        <v/>
      </c>
      <c r="AK36" s="8" t="str">
        <f>""</f>
        <v/>
      </c>
      <c r="AL36" s="5" t="str">
        <f>"15,00"</f>
        <v>15,00</v>
      </c>
      <c r="AM36" s="5" t="str">
        <f>"2027"</f>
        <v>2027</v>
      </c>
      <c r="AN36" s="5" t="str">
        <f t="shared" si="56"/>
        <v>нет</v>
      </c>
      <c r="AO36" s="5" t="str">
        <f>""</f>
        <v/>
      </c>
      <c r="AP36" s="5" t="str">
        <f>""</f>
        <v/>
      </c>
      <c r="AQ36" s="5" t="str">
        <f>""</f>
        <v/>
      </c>
      <c r="AR36" s="5" t="str">
        <f t="shared" si="57"/>
        <v>нет</v>
      </c>
      <c r="AS36" s="5" t="str">
        <f>""</f>
        <v/>
      </c>
      <c r="AT36" s="5" t="str">
        <f>""</f>
        <v/>
      </c>
      <c r="AU36" s="5" t="str">
        <f>""</f>
        <v/>
      </c>
      <c r="AV36" s="5" t="str">
        <f>""</f>
        <v/>
      </c>
      <c r="AW36" s="5" t="str">
        <f>"15,00"</f>
        <v>15,00</v>
      </c>
      <c r="AX36" s="5" t="str">
        <f>"2027"</f>
        <v>2027</v>
      </c>
      <c r="AY36" s="5" t="str">
        <f t="shared" si="59"/>
        <v>нет</v>
      </c>
      <c r="AZ36" s="5" t="str">
        <f>""</f>
        <v/>
      </c>
      <c r="BA36" s="5" t="str">
        <f>""</f>
        <v/>
      </c>
      <c r="BB36" s="5" t="str">
        <f>""</f>
        <v/>
      </c>
      <c r="BC36" s="5" t="str">
        <f t="shared" si="60"/>
        <v>нет</v>
      </c>
      <c r="BD36" s="5" t="str">
        <f>""</f>
        <v/>
      </c>
      <c r="BE36" s="5" t="str">
        <f>""</f>
        <v/>
      </c>
      <c r="BF36" s="5" t="str">
        <f>""</f>
        <v/>
      </c>
      <c r="BG36" s="5" t="str">
        <f>""</f>
        <v/>
      </c>
      <c r="BH36" s="5" t="str">
        <f>"10,00"</f>
        <v>10,00</v>
      </c>
      <c r="BI36" s="5" t="str">
        <f>"2029"</f>
        <v>2029</v>
      </c>
      <c r="BJ36" s="5" t="str">
        <f t="shared" si="62"/>
        <v>нет</v>
      </c>
      <c r="BK36" s="5" t="str">
        <f>""</f>
        <v/>
      </c>
      <c r="BL36" s="5" t="str">
        <f>""</f>
        <v/>
      </c>
      <c r="BM36" s="5" t="str">
        <f>""</f>
        <v/>
      </c>
      <c r="BN36" s="5" t="str">
        <f t="shared" si="63"/>
        <v>нет</v>
      </c>
      <c r="BO36" s="5" t="str">
        <f>""</f>
        <v/>
      </c>
      <c r="BP36" s="5" t="str">
        <f>""</f>
        <v/>
      </c>
      <c r="BQ36" s="5" t="str">
        <f>""</f>
        <v/>
      </c>
      <c r="BR36" s="5" t="str">
        <f>""</f>
        <v/>
      </c>
      <c r="BS36" s="5" t="str">
        <f>"10,00"</f>
        <v>10,00</v>
      </c>
      <c r="BT36" s="5" t="str">
        <f>"2023"</f>
        <v>2023</v>
      </c>
      <c r="BU36" s="5" t="str">
        <f t="shared" si="10"/>
        <v>нет</v>
      </c>
      <c r="BV36" s="5" t="str">
        <f t="shared" si="64"/>
        <v>x</v>
      </c>
      <c r="BW36" s="5" t="str">
        <f t="shared" si="64"/>
        <v>x</v>
      </c>
      <c r="BX36" s="5" t="str">
        <f t="shared" si="64"/>
        <v>x</v>
      </c>
      <c r="BY36" s="5" t="str">
        <f t="shared" si="12"/>
        <v>нет</v>
      </c>
      <c r="BZ36" s="5" t="str">
        <f t="shared" ref="BZ36:CB39" si="65">"x"</f>
        <v>x</v>
      </c>
      <c r="CA36" s="5" t="str">
        <f t="shared" si="65"/>
        <v>x</v>
      </c>
      <c r="CB36" s="5" t="str">
        <f t="shared" si="65"/>
        <v>x</v>
      </c>
      <c r="CC36" s="5" t="str">
        <f>""</f>
        <v/>
      </c>
      <c r="CD36" s="5" t="str">
        <f>"5,00"</f>
        <v>5,00</v>
      </c>
      <c r="CE36" s="5" t="str">
        <f>"2030"</f>
        <v>2030</v>
      </c>
      <c r="CF36" s="5" t="str">
        <f>""</f>
        <v/>
      </c>
      <c r="CG36" s="5" t="str">
        <f>"5,00"</f>
        <v>5,00</v>
      </c>
      <c r="CH36" s="5" t="str">
        <f>"2031"</f>
        <v>2031</v>
      </c>
      <c r="CI36" s="5" t="str">
        <f>"8,00"</f>
        <v>8,00</v>
      </c>
      <c r="CJ36" s="5" t="str">
        <f>"2044"</f>
        <v>2044</v>
      </c>
    </row>
    <row r="37" spans="1:88" ht="11.25" customHeight="1">
      <c r="A37" s="3" t="str">
        <f>"1.24"</f>
        <v>1.24</v>
      </c>
      <c r="B37" s="4" t="str">
        <f>"г. Грязовец, ул. Беляева, д.20"</f>
        <v>г. Грязовец, ул. Беляева, д.20</v>
      </c>
      <c r="C37" s="7" t="str">
        <f>"1988"</f>
        <v>1988</v>
      </c>
      <c r="D37" s="5" t="str">
        <f>""</f>
        <v/>
      </c>
      <c r="E37" s="5" t="str">
        <f>"15,00"</f>
        <v>15,00</v>
      </c>
      <c r="F37" s="5" t="str">
        <f>"2025"</f>
        <v>2025</v>
      </c>
      <c r="G37" s="5" t="str">
        <f t="shared" si="46"/>
        <v>нет</v>
      </c>
      <c r="H37" s="5" t="str">
        <f>""</f>
        <v/>
      </c>
      <c r="I37" s="5" t="str">
        <f>""</f>
        <v/>
      </c>
      <c r="J37" s="5" t="str">
        <f>""</f>
        <v/>
      </c>
      <c r="K37" s="5" t="str">
        <f t="shared" si="47"/>
        <v>нет</v>
      </c>
      <c r="L37" s="5" t="str">
        <f>""</f>
        <v/>
      </c>
      <c r="M37" s="5" t="str">
        <f>""</f>
        <v/>
      </c>
      <c r="N37" s="5" t="str">
        <f>""</f>
        <v/>
      </c>
      <c r="O37" s="8" t="str">
        <f>""</f>
        <v/>
      </c>
      <c r="P37" s="5" t="str">
        <f>"12,00"</f>
        <v>12,00</v>
      </c>
      <c r="Q37" s="5" t="str">
        <f>"2026"</f>
        <v>2026</v>
      </c>
      <c r="R37" s="5" t="str">
        <f t="shared" si="49"/>
        <v>нет</v>
      </c>
      <c r="S37" s="5" t="str">
        <f>""</f>
        <v/>
      </c>
      <c r="T37" s="5" t="str">
        <f>""</f>
        <v/>
      </c>
      <c r="U37" s="5" t="str">
        <f>""</f>
        <v/>
      </c>
      <c r="V37" s="5" t="str">
        <f t="shared" si="51"/>
        <v>нет</v>
      </c>
      <c r="W37" s="5" t="str">
        <f>""</f>
        <v/>
      </c>
      <c r="X37" s="5" t="str">
        <f>""</f>
        <v/>
      </c>
      <c r="Y37" s="9" t="str">
        <f>""</f>
        <v/>
      </c>
      <c r="Z37" s="5" t="str">
        <f>""</f>
        <v/>
      </c>
      <c r="AA37" s="5" t="str">
        <f>"7,00"</f>
        <v>7,00</v>
      </c>
      <c r="AB37" s="5" t="str">
        <f>"2029"</f>
        <v>2029</v>
      </c>
      <c r="AC37" s="5" t="str">
        <f t="shared" si="53"/>
        <v>нет</v>
      </c>
      <c r="AD37" s="5" t="str">
        <f>""</f>
        <v/>
      </c>
      <c r="AE37" s="5" t="str">
        <f>""</f>
        <v/>
      </c>
      <c r="AF37" s="5" t="str">
        <f>""</f>
        <v/>
      </c>
      <c r="AG37" s="5" t="str">
        <f t="shared" si="54"/>
        <v>нет</v>
      </c>
      <c r="AH37" s="5" t="str">
        <f>""</f>
        <v/>
      </c>
      <c r="AI37" s="5" t="str">
        <f>""</f>
        <v/>
      </c>
      <c r="AJ37" s="5" t="str">
        <f>""</f>
        <v/>
      </c>
      <c r="AK37" s="8" t="str">
        <f>""</f>
        <v/>
      </c>
      <c r="AL37" s="5" t="str">
        <f>"15,00"</f>
        <v>15,00</v>
      </c>
      <c r="AM37" s="5" t="str">
        <f>"2024"</f>
        <v>2024</v>
      </c>
      <c r="AN37" s="5" t="str">
        <f t="shared" si="56"/>
        <v>нет</v>
      </c>
      <c r="AO37" s="5" t="str">
        <f>""</f>
        <v/>
      </c>
      <c r="AP37" s="5" t="str">
        <f>""</f>
        <v/>
      </c>
      <c r="AQ37" s="5" t="str">
        <f>""</f>
        <v/>
      </c>
      <c r="AR37" s="5" t="str">
        <f t="shared" si="57"/>
        <v>нет</v>
      </c>
      <c r="AS37" s="5" t="str">
        <f>""</f>
        <v/>
      </c>
      <c r="AT37" s="5" t="str">
        <f>""</f>
        <v/>
      </c>
      <c r="AU37" s="5" t="str">
        <f>""</f>
        <v/>
      </c>
      <c r="AV37" s="5" t="str">
        <f>""</f>
        <v/>
      </c>
      <c r="AW37" s="5" t="str">
        <f>"15,00"</f>
        <v>15,00</v>
      </c>
      <c r="AX37" s="5" t="str">
        <f>"2024"</f>
        <v>2024</v>
      </c>
      <c r="AY37" s="5" t="str">
        <f t="shared" si="59"/>
        <v>нет</v>
      </c>
      <c r="AZ37" s="5" t="str">
        <f>""</f>
        <v/>
      </c>
      <c r="BA37" s="5" t="str">
        <f>""</f>
        <v/>
      </c>
      <c r="BB37" s="5" t="str">
        <f>""</f>
        <v/>
      </c>
      <c r="BC37" s="5" t="str">
        <f t="shared" si="60"/>
        <v>нет</v>
      </c>
      <c r="BD37" s="5" t="str">
        <f>""</f>
        <v/>
      </c>
      <c r="BE37" s="5" t="str">
        <f>""</f>
        <v/>
      </c>
      <c r="BF37" s="5" t="str">
        <f>""</f>
        <v/>
      </c>
      <c r="BG37" s="5" t="str">
        <f>""</f>
        <v/>
      </c>
      <c r="BH37" s="5" t="str">
        <f>"13,00"</f>
        <v>13,00</v>
      </c>
      <c r="BI37" s="5" t="str">
        <f>"2026"</f>
        <v>2026</v>
      </c>
      <c r="BJ37" s="5" t="str">
        <f t="shared" si="62"/>
        <v>нет</v>
      </c>
      <c r="BK37" s="5" t="str">
        <f>""</f>
        <v/>
      </c>
      <c r="BL37" s="5" t="str">
        <f>""</f>
        <v/>
      </c>
      <c r="BM37" s="5" t="str">
        <f>""</f>
        <v/>
      </c>
      <c r="BN37" s="5" t="str">
        <f t="shared" si="63"/>
        <v>нет</v>
      </c>
      <c r="BO37" s="5" t="str">
        <f>""</f>
        <v/>
      </c>
      <c r="BP37" s="5" t="str">
        <f>""</f>
        <v/>
      </c>
      <c r="BQ37" s="5" t="str">
        <f>""</f>
        <v/>
      </c>
      <c r="BR37" s="5" t="str">
        <f>""</f>
        <v/>
      </c>
      <c r="BS37" s="5" t="str">
        <f>"10,00"</f>
        <v>10,00</v>
      </c>
      <c r="BT37" s="5" t="str">
        <f>"2023"</f>
        <v>2023</v>
      </c>
      <c r="BU37" s="5" t="str">
        <f t="shared" si="10"/>
        <v>нет</v>
      </c>
      <c r="BV37" s="5" t="str">
        <f t="shared" si="64"/>
        <v>x</v>
      </c>
      <c r="BW37" s="5" t="str">
        <f t="shared" si="64"/>
        <v>x</v>
      </c>
      <c r="BX37" s="5" t="str">
        <f t="shared" si="64"/>
        <v>x</v>
      </c>
      <c r="BY37" s="5" t="str">
        <f t="shared" si="12"/>
        <v>нет</v>
      </c>
      <c r="BZ37" s="5" t="str">
        <f t="shared" si="65"/>
        <v>x</v>
      </c>
      <c r="CA37" s="5" t="str">
        <f t="shared" si="65"/>
        <v>x</v>
      </c>
      <c r="CB37" s="5" t="str">
        <f t="shared" si="65"/>
        <v>x</v>
      </c>
      <c r="CC37" s="5" t="str">
        <f>""</f>
        <v/>
      </c>
      <c r="CD37" s="5" t="str">
        <f>"7,00"</f>
        <v>7,00</v>
      </c>
      <c r="CE37" s="5" t="str">
        <f>"2032"</f>
        <v>2032</v>
      </c>
      <c r="CF37" s="5" t="str">
        <f>""</f>
        <v/>
      </c>
      <c r="CG37" s="5" t="str">
        <f>"5,00"</f>
        <v>5,00</v>
      </c>
      <c r="CH37" s="5" t="str">
        <f>"2033"</f>
        <v>2033</v>
      </c>
      <c r="CI37" s="5" t="str">
        <f>"15,00"</f>
        <v>15,00</v>
      </c>
      <c r="CJ37" s="5" t="str">
        <f>"2044"</f>
        <v>2044</v>
      </c>
    </row>
    <row r="38" spans="1:88" ht="11.25" customHeight="1">
      <c r="A38" s="3" t="str">
        <f>"1.25"</f>
        <v>1.25</v>
      </c>
      <c r="B38" s="4" t="str">
        <f>"г. Грязовец, ул. Беляева, д.25"</f>
        <v>г. Грязовец, ул. Беляева, д.25</v>
      </c>
      <c r="C38" s="7" t="str">
        <f>"1988"</f>
        <v>1988</v>
      </c>
      <c r="D38" s="5" t="str">
        <f>""</f>
        <v/>
      </c>
      <c r="E38" s="5" t="str">
        <f>"35,00"</f>
        <v>35,00</v>
      </c>
      <c r="F38" s="5" t="str">
        <f>"2022"</f>
        <v>2022</v>
      </c>
      <c r="G38" s="5" t="str">
        <f t="shared" si="46"/>
        <v>нет</v>
      </c>
      <c r="H38" s="5" t="str">
        <f>""</f>
        <v/>
      </c>
      <c r="I38" s="5" t="str">
        <f>""</f>
        <v/>
      </c>
      <c r="J38" s="5" t="str">
        <f>""</f>
        <v/>
      </c>
      <c r="K38" s="5" t="str">
        <f t="shared" si="47"/>
        <v>нет</v>
      </c>
      <c r="L38" s="5" t="str">
        <f>""</f>
        <v/>
      </c>
      <c r="M38" s="5" t="str">
        <f>""</f>
        <v/>
      </c>
      <c r="N38" s="5" t="str">
        <f>""</f>
        <v/>
      </c>
      <c r="O38" s="8" t="str">
        <f>""</f>
        <v/>
      </c>
      <c r="P38" s="5" t="str">
        <f>"20,00"</f>
        <v>20,00</v>
      </c>
      <c r="Q38" s="5" t="str">
        <f>"2026"</f>
        <v>2026</v>
      </c>
      <c r="R38" s="5" t="str">
        <f t="shared" si="49"/>
        <v>нет</v>
      </c>
      <c r="S38" s="5" t="str">
        <f>""</f>
        <v/>
      </c>
      <c r="T38" s="5" t="str">
        <f>""</f>
        <v/>
      </c>
      <c r="U38" s="5" t="str">
        <f>""</f>
        <v/>
      </c>
      <c r="V38" s="5" t="str">
        <f t="shared" si="51"/>
        <v>нет</v>
      </c>
      <c r="W38" s="5" t="str">
        <f>""</f>
        <v/>
      </c>
      <c r="X38" s="5" t="str">
        <f>""</f>
        <v/>
      </c>
      <c r="Y38" s="9" t="str">
        <f>""</f>
        <v/>
      </c>
      <c r="Z38" s="5" t="str">
        <f>""</f>
        <v/>
      </c>
      <c r="AA38" s="5" t="str">
        <f>"10,00"</f>
        <v>10,00</v>
      </c>
      <c r="AB38" s="5" t="str">
        <f>"2030"</f>
        <v>2030</v>
      </c>
      <c r="AC38" s="5" t="str">
        <f t="shared" si="53"/>
        <v>нет</v>
      </c>
      <c r="AD38" s="5" t="str">
        <f>""</f>
        <v/>
      </c>
      <c r="AE38" s="5" t="str">
        <f>""</f>
        <v/>
      </c>
      <c r="AF38" s="5" t="str">
        <f>""</f>
        <v/>
      </c>
      <c r="AG38" s="5" t="str">
        <f t="shared" si="54"/>
        <v>нет</v>
      </c>
      <c r="AH38" s="5" t="str">
        <f>""</f>
        <v/>
      </c>
      <c r="AI38" s="5" t="str">
        <f>""</f>
        <v/>
      </c>
      <c r="AJ38" s="5" t="str">
        <f>""</f>
        <v/>
      </c>
      <c r="AK38" s="8" t="str">
        <f>""</f>
        <v/>
      </c>
      <c r="AL38" s="5" t="str">
        <f>"15,00"</f>
        <v>15,00</v>
      </c>
      <c r="AM38" s="5" t="str">
        <f>"2026"</f>
        <v>2026</v>
      </c>
      <c r="AN38" s="5" t="str">
        <f t="shared" si="56"/>
        <v>нет</v>
      </c>
      <c r="AO38" s="5" t="str">
        <f>""</f>
        <v/>
      </c>
      <c r="AP38" s="5" t="str">
        <f>""</f>
        <v/>
      </c>
      <c r="AQ38" s="5" t="str">
        <f>""</f>
        <v/>
      </c>
      <c r="AR38" s="5" t="str">
        <f t="shared" si="57"/>
        <v>нет</v>
      </c>
      <c r="AS38" s="5" t="str">
        <f>""</f>
        <v/>
      </c>
      <c r="AT38" s="5" t="str">
        <f>""</f>
        <v/>
      </c>
      <c r="AU38" s="5" t="str">
        <f>""</f>
        <v/>
      </c>
      <c r="AV38" s="5" t="str">
        <f>""</f>
        <v/>
      </c>
      <c r="AW38" s="5" t="str">
        <f>"15,00"</f>
        <v>15,00</v>
      </c>
      <c r="AX38" s="5" t="str">
        <f>"2026"</f>
        <v>2026</v>
      </c>
      <c r="AY38" s="5" t="str">
        <f t="shared" si="59"/>
        <v>нет</v>
      </c>
      <c r="AZ38" s="5" t="str">
        <f>""</f>
        <v/>
      </c>
      <c r="BA38" s="5" t="str">
        <f>""</f>
        <v/>
      </c>
      <c r="BB38" s="5" t="str">
        <f>""</f>
        <v/>
      </c>
      <c r="BC38" s="5" t="str">
        <f t="shared" si="60"/>
        <v>нет</v>
      </c>
      <c r="BD38" s="5" t="str">
        <f>""</f>
        <v/>
      </c>
      <c r="BE38" s="5" t="str">
        <f>""</f>
        <v/>
      </c>
      <c r="BF38" s="5" t="str">
        <f>""</f>
        <v/>
      </c>
      <c r="BG38" s="5" t="str">
        <f>""</f>
        <v/>
      </c>
      <c r="BH38" s="5" t="str">
        <f>"20,00"</f>
        <v>20,00</v>
      </c>
      <c r="BI38" s="5" t="str">
        <f>"2024"</f>
        <v>2024</v>
      </c>
      <c r="BJ38" s="5" t="str">
        <f t="shared" si="62"/>
        <v>нет</v>
      </c>
      <c r="BK38" s="5" t="str">
        <f>""</f>
        <v/>
      </c>
      <c r="BL38" s="5" t="str">
        <f>""</f>
        <v/>
      </c>
      <c r="BM38" s="5" t="str">
        <f>""</f>
        <v/>
      </c>
      <c r="BN38" s="5" t="str">
        <f t="shared" si="63"/>
        <v>нет</v>
      </c>
      <c r="BO38" s="5" t="str">
        <f>""</f>
        <v/>
      </c>
      <c r="BP38" s="5" t="str">
        <f>""</f>
        <v/>
      </c>
      <c r="BQ38" s="5" t="str">
        <f>""</f>
        <v/>
      </c>
      <c r="BR38" s="5" t="str">
        <f>""</f>
        <v/>
      </c>
      <c r="BS38" s="5" t="str">
        <f>"25,00"</f>
        <v>25,00</v>
      </c>
      <c r="BT38" s="5" t="str">
        <f>"2023"</f>
        <v>2023</v>
      </c>
      <c r="BU38" s="5" t="str">
        <f t="shared" si="10"/>
        <v>нет</v>
      </c>
      <c r="BV38" s="5" t="str">
        <f t="shared" si="64"/>
        <v>x</v>
      </c>
      <c r="BW38" s="5" t="str">
        <f t="shared" si="64"/>
        <v>x</v>
      </c>
      <c r="BX38" s="5" t="str">
        <f t="shared" si="64"/>
        <v>x</v>
      </c>
      <c r="BY38" s="5" t="str">
        <f t="shared" si="12"/>
        <v>нет</v>
      </c>
      <c r="BZ38" s="5" t="str">
        <f t="shared" si="65"/>
        <v>x</v>
      </c>
      <c r="CA38" s="5" t="str">
        <f t="shared" si="65"/>
        <v>x</v>
      </c>
      <c r="CB38" s="5" t="str">
        <f t="shared" si="65"/>
        <v>x</v>
      </c>
      <c r="CC38" s="5" t="str">
        <f>""</f>
        <v/>
      </c>
      <c r="CD38" s="5" t="str">
        <f>"15,00"</f>
        <v>15,00</v>
      </c>
      <c r="CE38" s="5" t="str">
        <f>"2028"</f>
        <v>2028</v>
      </c>
      <c r="CF38" s="5" t="str">
        <f>""</f>
        <v/>
      </c>
      <c r="CG38" s="5" t="str">
        <f>"15,00"</f>
        <v>15,00</v>
      </c>
      <c r="CH38" s="5" t="str">
        <f>"2030"</f>
        <v>2030</v>
      </c>
      <c r="CI38" s="5" t="str">
        <f>"32,00"</f>
        <v>32,00</v>
      </c>
      <c r="CJ38" s="5" t="str">
        <f>"2043"</f>
        <v>2043</v>
      </c>
    </row>
    <row r="39" spans="1:88" ht="11.25" customHeight="1">
      <c r="A39" s="3" t="str">
        <f>"1.26"</f>
        <v>1.26</v>
      </c>
      <c r="B39" s="4" t="str">
        <f>"г. Грязовец, ул. Беляева, д.27"</f>
        <v>г. Грязовец, ул. Беляева, д.27</v>
      </c>
      <c r="C39" s="7" t="str">
        <f>"1965"</f>
        <v>1965</v>
      </c>
      <c r="D39" s="5" t="str">
        <f>""</f>
        <v/>
      </c>
      <c r="E39" s="5" t="str">
        <f>"45,00"</f>
        <v>45,00</v>
      </c>
      <c r="F39" s="5" t="str">
        <f>"2022"</f>
        <v>2022</v>
      </c>
      <c r="G39" s="5" t="str">
        <f t="shared" si="46"/>
        <v>нет</v>
      </c>
      <c r="H39" s="5" t="str">
        <f>""</f>
        <v/>
      </c>
      <c r="I39" s="5" t="str">
        <f>""</f>
        <v/>
      </c>
      <c r="J39" s="5" t="str">
        <f>""</f>
        <v/>
      </c>
      <c r="K39" s="5" t="str">
        <f t="shared" si="47"/>
        <v>нет</v>
      </c>
      <c r="L39" s="5" t="str">
        <f>""</f>
        <v/>
      </c>
      <c r="M39" s="5" t="str">
        <f>""</f>
        <v/>
      </c>
      <c r="N39" s="5" t="str">
        <f>""</f>
        <v/>
      </c>
      <c r="O39" s="8" t="str">
        <f>""</f>
        <v/>
      </c>
      <c r="P39" s="5" t="str">
        <f>"40,00"</f>
        <v>40,00</v>
      </c>
      <c r="Q39" s="5" t="str">
        <f>"2023"</f>
        <v>2023</v>
      </c>
      <c r="R39" s="5" t="str">
        <f t="shared" si="49"/>
        <v>нет</v>
      </c>
      <c r="S39" s="5" t="str">
        <f>""</f>
        <v/>
      </c>
      <c r="T39" s="5" t="str">
        <f>""</f>
        <v/>
      </c>
      <c r="U39" s="5" t="str">
        <f>""</f>
        <v/>
      </c>
      <c r="V39" s="5" t="str">
        <f t="shared" si="51"/>
        <v>нет</v>
      </c>
      <c r="W39" s="5" t="str">
        <f>""</f>
        <v/>
      </c>
      <c r="X39" s="5" t="str">
        <f>""</f>
        <v/>
      </c>
      <c r="Y39" s="9" t="str">
        <f>""</f>
        <v/>
      </c>
      <c r="Z39" s="5" t="str">
        <f>""</f>
        <v/>
      </c>
      <c r="AA39" s="5" t="str">
        <f>"40,00"</f>
        <v>40,00</v>
      </c>
      <c r="AB39" s="5" t="str">
        <f>"2024"</f>
        <v>2024</v>
      </c>
      <c r="AC39" s="5" t="str">
        <f t="shared" si="53"/>
        <v>нет</v>
      </c>
      <c r="AD39" s="5" t="str">
        <f>""</f>
        <v/>
      </c>
      <c r="AE39" s="5" t="str">
        <f>""</f>
        <v/>
      </c>
      <c r="AF39" s="5" t="str">
        <f>""</f>
        <v/>
      </c>
      <c r="AG39" s="5" t="str">
        <f t="shared" si="54"/>
        <v>нет</v>
      </c>
      <c r="AH39" s="5" t="str">
        <f>""</f>
        <v/>
      </c>
      <c r="AI39" s="5" t="str">
        <f>""</f>
        <v/>
      </c>
      <c r="AJ39" s="5" t="str">
        <f>""</f>
        <v/>
      </c>
      <c r="AK39" s="8" t="str">
        <f>""</f>
        <v/>
      </c>
      <c r="AL39" s="5" t="str">
        <f>"35,00"</f>
        <v>35,00</v>
      </c>
      <c r="AM39" s="5" t="str">
        <f>"2025"</f>
        <v>2025</v>
      </c>
      <c r="AN39" s="5" t="str">
        <f t="shared" si="56"/>
        <v>нет</v>
      </c>
      <c r="AO39" s="5" t="str">
        <f>""</f>
        <v/>
      </c>
      <c r="AP39" s="5" t="str">
        <f>""</f>
        <v/>
      </c>
      <c r="AQ39" s="5" t="str">
        <f>""</f>
        <v/>
      </c>
      <c r="AR39" s="5" t="str">
        <f t="shared" si="57"/>
        <v>нет</v>
      </c>
      <c r="AS39" s="5" t="str">
        <f>""</f>
        <v/>
      </c>
      <c r="AT39" s="5" t="str">
        <f>""</f>
        <v/>
      </c>
      <c r="AU39" s="5" t="str">
        <f>""</f>
        <v/>
      </c>
      <c r="AV39" s="5" t="str">
        <f t="shared" ref="AV39:BF39" si="66">"х"</f>
        <v>х</v>
      </c>
      <c r="AW39" s="5" t="str">
        <f t="shared" si="66"/>
        <v>х</v>
      </c>
      <c r="AX39" s="5" t="str">
        <f t="shared" si="66"/>
        <v>х</v>
      </c>
      <c r="AY39" s="5" t="str">
        <f t="shared" si="66"/>
        <v>х</v>
      </c>
      <c r="AZ39" s="5" t="str">
        <f t="shared" si="66"/>
        <v>х</v>
      </c>
      <c r="BA39" s="5" t="str">
        <f t="shared" si="66"/>
        <v>х</v>
      </c>
      <c r="BB39" s="5" t="str">
        <f t="shared" si="66"/>
        <v>х</v>
      </c>
      <c r="BC39" s="5" t="str">
        <f t="shared" si="66"/>
        <v>х</v>
      </c>
      <c r="BD39" s="5" t="str">
        <f t="shared" si="66"/>
        <v>х</v>
      </c>
      <c r="BE39" s="5" t="str">
        <f t="shared" si="66"/>
        <v>х</v>
      </c>
      <c r="BF39" s="5" t="str">
        <f t="shared" si="66"/>
        <v>х</v>
      </c>
      <c r="BG39" s="5" t="str">
        <f>""</f>
        <v/>
      </c>
      <c r="BH39" s="5" t="str">
        <f>"35,00"</f>
        <v>35,00</v>
      </c>
      <c r="BI39" s="5" t="str">
        <f>"2025"</f>
        <v>2025</v>
      </c>
      <c r="BJ39" s="5" t="str">
        <f t="shared" si="62"/>
        <v>нет</v>
      </c>
      <c r="BK39" s="5" t="str">
        <f>""</f>
        <v/>
      </c>
      <c r="BL39" s="5" t="str">
        <f>""</f>
        <v/>
      </c>
      <c r="BM39" s="5" t="str">
        <f>""</f>
        <v/>
      </c>
      <c r="BN39" s="5" t="str">
        <f t="shared" si="63"/>
        <v>нет</v>
      </c>
      <c r="BO39" s="5" t="str">
        <f>""</f>
        <v/>
      </c>
      <c r="BP39" s="5" t="str">
        <f>""</f>
        <v/>
      </c>
      <c r="BQ39" s="5" t="str">
        <f>""</f>
        <v/>
      </c>
      <c r="BR39" s="5" t="str">
        <f>""</f>
        <v/>
      </c>
      <c r="BS39" s="5" t="str">
        <f>"40,00"</f>
        <v>40,00</v>
      </c>
      <c r="BT39" s="5" t="str">
        <f>"2019"</f>
        <v>2019</v>
      </c>
      <c r="BU39" s="5" t="str">
        <f t="shared" si="10"/>
        <v>нет</v>
      </c>
      <c r="BV39" s="5" t="str">
        <f t="shared" si="64"/>
        <v>x</v>
      </c>
      <c r="BW39" s="5" t="str">
        <f t="shared" si="64"/>
        <v>x</v>
      </c>
      <c r="BX39" s="5" t="str">
        <f t="shared" si="64"/>
        <v>x</v>
      </c>
      <c r="BY39" s="5" t="str">
        <f t="shared" si="12"/>
        <v>нет</v>
      </c>
      <c r="BZ39" s="5" t="str">
        <f t="shared" si="65"/>
        <v>x</v>
      </c>
      <c r="CA39" s="5" t="str">
        <f t="shared" si="65"/>
        <v>x</v>
      </c>
      <c r="CB39" s="5" t="str">
        <f t="shared" si="65"/>
        <v>x</v>
      </c>
      <c r="CC39" s="5" t="str">
        <f>""</f>
        <v/>
      </c>
      <c r="CD39" s="5" t="str">
        <f>"25,00"</f>
        <v>25,00</v>
      </c>
      <c r="CE39" s="5" t="str">
        <f>"2026"</f>
        <v>2026</v>
      </c>
      <c r="CF39" s="5" t="str">
        <f>""</f>
        <v/>
      </c>
      <c r="CG39" s="5" t="str">
        <f>"15,00"</f>
        <v>15,00</v>
      </c>
      <c r="CH39" s="5" t="str">
        <f>"2029"</f>
        <v>2029</v>
      </c>
      <c r="CI39" s="5" t="str">
        <f>"42,00"</f>
        <v>42,00</v>
      </c>
      <c r="CJ39" s="5" t="str">
        <f>"2042"</f>
        <v>2042</v>
      </c>
    </row>
    <row r="40" spans="1:88" ht="11.25" customHeight="1">
      <c r="A40" s="3" t="str">
        <f>"1.27"</f>
        <v>1.27</v>
      </c>
      <c r="B40" s="4" t="str">
        <f>"г. Грязовец, ул. Беляева, д.28"</f>
        <v>г. Грязовец, ул. Беляева, д.28</v>
      </c>
      <c r="C40" s="7" t="str">
        <f>"1990"</f>
        <v>1990</v>
      </c>
      <c r="D40" s="5" t="str">
        <f>"1990"</f>
        <v>1990</v>
      </c>
      <c r="E40" s="5" t="str">
        <f>"21,00"</f>
        <v>21,00</v>
      </c>
      <c r="F40" s="5" t="str">
        <f>"2021"</f>
        <v>2021</v>
      </c>
      <c r="G40" s="5" t="str">
        <f t="shared" si="46"/>
        <v>нет</v>
      </c>
      <c r="H40" s="5" t="str">
        <f>""</f>
        <v/>
      </c>
      <c r="I40" s="5" t="str">
        <f>""</f>
        <v/>
      </c>
      <c r="J40" s="5" t="str">
        <f>""</f>
        <v/>
      </c>
      <c r="K40" s="5" t="str">
        <f t="shared" si="47"/>
        <v>нет</v>
      </c>
      <c r="L40" s="5" t="str">
        <f>""</f>
        <v/>
      </c>
      <c r="M40" s="5" t="str">
        <f>""</f>
        <v/>
      </c>
      <c r="N40" s="5" t="str">
        <f>""</f>
        <v/>
      </c>
      <c r="O40" s="8" t="str">
        <f>"1990"</f>
        <v>1990</v>
      </c>
      <c r="P40" s="5" t="str">
        <f>"42,00"</f>
        <v>42,00</v>
      </c>
      <c r="Q40" s="5" t="str">
        <f>"2020"</f>
        <v>2020</v>
      </c>
      <c r="R40" s="5" t="str">
        <f t="shared" si="49"/>
        <v>нет</v>
      </c>
      <c r="S40" s="5" t="str">
        <f>""</f>
        <v/>
      </c>
      <c r="T40" s="5" t="str">
        <f>""</f>
        <v/>
      </c>
      <c r="U40" s="5" t="str">
        <f>""</f>
        <v/>
      </c>
      <c r="V40" s="5" t="str">
        <f t="shared" si="51"/>
        <v>нет</v>
      </c>
      <c r="W40" s="5" t="str">
        <f>""</f>
        <v/>
      </c>
      <c r="X40" s="5" t="str">
        <f>""</f>
        <v/>
      </c>
      <c r="Y40" s="9" t="str">
        <f>""</f>
        <v/>
      </c>
      <c r="Z40" s="5" t="str">
        <f>"1990"</f>
        <v>1990</v>
      </c>
      <c r="AA40" s="5" t="str">
        <f>"30,00"</f>
        <v>30,00</v>
      </c>
      <c r="AB40" s="5" t="str">
        <f>"2020"</f>
        <v>2020</v>
      </c>
      <c r="AC40" s="5" t="str">
        <f t="shared" si="53"/>
        <v>нет</v>
      </c>
      <c r="AD40" s="5" t="str">
        <f>""</f>
        <v/>
      </c>
      <c r="AE40" s="5" t="str">
        <f>""</f>
        <v/>
      </c>
      <c r="AF40" s="5" t="str">
        <f>""</f>
        <v/>
      </c>
      <c r="AG40" s="5" t="str">
        <f t="shared" si="54"/>
        <v>нет</v>
      </c>
      <c r="AH40" s="5" t="str">
        <f>""</f>
        <v/>
      </c>
      <c r="AI40" s="5" t="str">
        <f>""</f>
        <v/>
      </c>
      <c r="AJ40" s="5" t="str">
        <f>""</f>
        <v/>
      </c>
      <c r="AK40" s="8" t="str">
        <f>"1990"</f>
        <v>1990</v>
      </c>
      <c r="AL40" s="5" t="str">
        <f>"32,00"</f>
        <v>32,00</v>
      </c>
      <c r="AM40" s="5" t="str">
        <f>"2021"</f>
        <v>2021</v>
      </c>
      <c r="AN40" s="5" t="str">
        <f t="shared" si="56"/>
        <v>нет</v>
      </c>
      <c r="AO40" s="5" t="str">
        <f>""</f>
        <v/>
      </c>
      <c r="AP40" s="5" t="str">
        <f>""</f>
        <v/>
      </c>
      <c r="AQ40" s="5" t="str">
        <f>""</f>
        <v/>
      </c>
      <c r="AR40" s="5" t="str">
        <f t="shared" si="57"/>
        <v>нет</v>
      </c>
      <c r="AS40" s="5" t="str">
        <f>""</f>
        <v/>
      </c>
      <c r="AT40" s="5" t="str">
        <f>""</f>
        <v/>
      </c>
      <c r="AU40" s="5" t="str">
        <f>""</f>
        <v/>
      </c>
      <c r="AV40" s="5" t="str">
        <f>"1990"</f>
        <v>1990</v>
      </c>
      <c r="AW40" s="5" t="str">
        <f>"33,00"</f>
        <v>33,00</v>
      </c>
      <c r="AX40" s="5" t="str">
        <f>"2020"</f>
        <v>2020</v>
      </c>
      <c r="AY40" s="5" t="str">
        <f t="shared" ref="AY40:AY46" si="67">"нет"</f>
        <v>нет</v>
      </c>
      <c r="AZ40" s="5" t="str">
        <f>""</f>
        <v/>
      </c>
      <c r="BA40" s="5" t="str">
        <f>""</f>
        <v/>
      </c>
      <c r="BB40" s="5" t="str">
        <f>""</f>
        <v/>
      </c>
      <c r="BC40" s="5" t="str">
        <f t="shared" ref="BC40:BC46" si="68">"нет"</f>
        <v>нет</v>
      </c>
      <c r="BD40" s="5" t="str">
        <f>""</f>
        <v/>
      </c>
      <c r="BE40" s="5" t="str">
        <f>""</f>
        <v/>
      </c>
      <c r="BF40" s="5" t="str">
        <f>""</f>
        <v/>
      </c>
      <c r="BG40" s="5" t="str">
        <f>"1990"</f>
        <v>1990</v>
      </c>
      <c r="BH40" s="5" t="str">
        <f>"34,00"</f>
        <v>34,00</v>
      </c>
      <c r="BI40" s="5" t="str">
        <f>"2019"</f>
        <v>2019</v>
      </c>
      <c r="BJ40" s="5" t="str">
        <f t="shared" si="62"/>
        <v>нет</v>
      </c>
      <c r="BK40" s="5" t="str">
        <f>""</f>
        <v/>
      </c>
      <c r="BL40" s="5" t="str">
        <f>""</f>
        <v/>
      </c>
      <c r="BM40" s="5" t="str">
        <f>""</f>
        <v/>
      </c>
      <c r="BN40" s="5" t="str">
        <f t="shared" si="63"/>
        <v>нет</v>
      </c>
      <c r="BO40" s="5" t="str">
        <f>""</f>
        <v/>
      </c>
      <c r="BP40" s="5" t="str">
        <f>""</f>
        <v/>
      </c>
      <c r="BQ40" s="5" t="str">
        <f>""</f>
        <v/>
      </c>
      <c r="BR40" s="5" t="str">
        <f>"1990"</f>
        <v>1990</v>
      </c>
      <c r="BS40" s="5" t="str">
        <f>"30,00"</f>
        <v>30,00</v>
      </c>
      <c r="BT40" s="5" t="str">
        <f>"2019"</f>
        <v>2019</v>
      </c>
      <c r="BU40" s="5" t="str">
        <f t="shared" si="10"/>
        <v>нет</v>
      </c>
      <c r="BV40" s="5" t="str">
        <f t="shared" si="64"/>
        <v>x</v>
      </c>
      <c r="BW40" s="5" t="str">
        <f t="shared" si="64"/>
        <v>x</v>
      </c>
      <c r="BX40" s="5" t="str">
        <f t="shared" si="64"/>
        <v>x</v>
      </c>
      <c r="BY40" s="5" t="str">
        <f t="shared" si="12"/>
        <v>нет</v>
      </c>
      <c r="BZ40" s="5" t="str">
        <f>"1990"</f>
        <v>1990</v>
      </c>
      <c r="CA40" s="5" t="str">
        <f>"30,00"</f>
        <v>30,00</v>
      </c>
      <c r="CB40" s="5" t="str">
        <f>"2019"</f>
        <v>2019</v>
      </c>
      <c r="CC40" s="5" t="str">
        <f>"1990"</f>
        <v>1990</v>
      </c>
      <c r="CD40" s="5" t="str">
        <f>"30,00"</f>
        <v>30,00</v>
      </c>
      <c r="CE40" s="5" t="str">
        <f>"2022"</f>
        <v>2022</v>
      </c>
      <c r="CF40" s="5" t="str">
        <f>"1990"</f>
        <v>1990</v>
      </c>
      <c r="CG40" s="5" t="str">
        <f>"30,00"</f>
        <v>30,00</v>
      </c>
      <c r="CH40" s="5" t="str">
        <f>"2020"</f>
        <v>2020</v>
      </c>
      <c r="CI40" s="5" t="str">
        <f>"28,00"</f>
        <v>28,00</v>
      </c>
      <c r="CJ40" s="5" t="str">
        <f>"2021"</f>
        <v>2021</v>
      </c>
    </row>
    <row r="41" spans="1:88" ht="11.25" customHeight="1">
      <c r="A41" s="3" t="str">
        <f>"1.28"</f>
        <v>1.28</v>
      </c>
      <c r="B41" s="4" t="str">
        <f>"г. Грязовец, ул. Беляева, д.29"</f>
        <v>г. Грязовец, ул. Беляева, д.29</v>
      </c>
      <c r="C41" s="7" t="str">
        <f>"1970"</f>
        <v>1970</v>
      </c>
      <c r="D41" s="5" t="str">
        <f>""</f>
        <v/>
      </c>
      <c r="E41" s="5" t="str">
        <f>"40,00"</f>
        <v>40,00</v>
      </c>
      <c r="F41" s="5" t="str">
        <f>"2021"</f>
        <v>2021</v>
      </c>
      <c r="G41" s="5" t="str">
        <f t="shared" si="46"/>
        <v>нет</v>
      </c>
      <c r="H41" s="5" t="str">
        <f>""</f>
        <v/>
      </c>
      <c r="I41" s="5" t="str">
        <f>""</f>
        <v/>
      </c>
      <c r="J41" s="5" t="str">
        <f>""</f>
        <v/>
      </c>
      <c r="K41" s="5" t="str">
        <f t="shared" si="47"/>
        <v>нет</v>
      </c>
      <c r="L41" s="5" t="str">
        <f>""</f>
        <v/>
      </c>
      <c r="M41" s="5" t="str">
        <f>""</f>
        <v/>
      </c>
      <c r="N41" s="5" t="str">
        <f>""</f>
        <v/>
      </c>
      <c r="O41" s="8" t="str">
        <f>""</f>
        <v/>
      </c>
      <c r="P41" s="5" t="str">
        <f>"35,00"</f>
        <v>35,00</v>
      </c>
      <c r="Q41" s="5" t="str">
        <f>"2022"</f>
        <v>2022</v>
      </c>
      <c r="R41" s="5" t="str">
        <f t="shared" si="49"/>
        <v>нет</v>
      </c>
      <c r="S41" s="5" t="str">
        <f>""</f>
        <v/>
      </c>
      <c r="T41" s="5" t="str">
        <f>""</f>
        <v/>
      </c>
      <c r="U41" s="5" t="str">
        <f>""</f>
        <v/>
      </c>
      <c r="V41" s="5" t="str">
        <f t="shared" si="51"/>
        <v>нет</v>
      </c>
      <c r="W41" s="5" t="str">
        <f>""</f>
        <v/>
      </c>
      <c r="X41" s="5" t="str">
        <f>""</f>
        <v/>
      </c>
      <c r="Y41" s="9" t="str">
        <f>""</f>
        <v/>
      </c>
      <c r="Z41" s="5" t="str">
        <f>""</f>
        <v/>
      </c>
      <c r="AA41" s="5" t="str">
        <f>"15,00"</f>
        <v>15,00</v>
      </c>
      <c r="AB41" s="5" t="str">
        <f>"2027"</f>
        <v>2027</v>
      </c>
      <c r="AC41" s="5" t="str">
        <f t="shared" si="53"/>
        <v>нет</v>
      </c>
      <c r="AD41" s="5" t="str">
        <f>""</f>
        <v/>
      </c>
      <c r="AE41" s="5" t="str">
        <f>""</f>
        <v/>
      </c>
      <c r="AF41" s="5" t="str">
        <f>""</f>
        <v/>
      </c>
      <c r="AG41" s="5" t="str">
        <f t="shared" si="54"/>
        <v>нет</v>
      </c>
      <c r="AH41" s="5" t="str">
        <f>""</f>
        <v/>
      </c>
      <c r="AI41" s="5" t="str">
        <f>""</f>
        <v/>
      </c>
      <c r="AJ41" s="5" t="str">
        <f>""</f>
        <v/>
      </c>
      <c r="AK41" s="8" t="str">
        <f>""</f>
        <v/>
      </c>
      <c r="AL41" s="5" t="str">
        <f>"35,00"</f>
        <v>35,00</v>
      </c>
      <c r="AM41" s="5" t="str">
        <f>"2023"</f>
        <v>2023</v>
      </c>
      <c r="AN41" s="5" t="str">
        <f t="shared" si="56"/>
        <v>нет</v>
      </c>
      <c r="AO41" s="5" t="str">
        <f>""</f>
        <v/>
      </c>
      <c r="AP41" s="5" t="str">
        <f>""</f>
        <v/>
      </c>
      <c r="AQ41" s="5" t="str">
        <f>""</f>
        <v/>
      </c>
      <c r="AR41" s="5" t="str">
        <f t="shared" si="57"/>
        <v>нет</v>
      </c>
      <c r="AS41" s="5" t="str">
        <f>""</f>
        <v/>
      </c>
      <c r="AT41" s="5" t="str">
        <f>""</f>
        <v/>
      </c>
      <c r="AU41" s="5" t="str">
        <f>""</f>
        <v/>
      </c>
      <c r="AV41" s="5" t="str">
        <f>""</f>
        <v/>
      </c>
      <c r="AW41" s="5" t="str">
        <f>"35,00"</f>
        <v>35,00</v>
      </c>
      <c r="AX41" s="5" t="str">
        <f>"2023"</f>
        <v>2023</v>
      </c>
      <c r="AY41" s="5" t="str">
        <f t="shared" si="67"/>
        <v>нет</v>
      </c>
      <c r="AZ41" s="5" t="str">
        <f>""</f>
        <v/>
      </c>
      <c r="BA41" s="5" t="str">
        <f>""</f>
        <v/>
      </c>
      <c r="BB41" s="5" t="str">
        <f>""</f>
        <v/>
      </c>
      <c r="BC41" s="5" t="str">
        <f t="shared" si="68"/>
        <v>нет</v>
      </c>
      <c r="BD41" s="5" t="str">
        <f>""</f>
        <v/>
      </c>
      <c r="BE41" s="5" t="str">
        <f>""</f>
        <v/>
      </c>
      <c r="BF41" s="5" t="str">
        <f>""</f>
        <v/>
      </c>
      <c r="BG41" s="5" t="str">
        <f>""</f>
        <v/>
      </c>
      <c r="BH41" s="5" t="str">
        <f>"30,00"</f>
        <v>30,00</v>
      </c>
      <c r="BI41" s="5" t="str">
        <f>"2025"</f>
        <v>2025</v>
      </c>
      <c r="BJ41" s="5" t="str">
        <f t="shared" si="62"/>
        <v>нет</v>
      </c>
      <c r="BK41" s="5" t="str">
        <f>""</f>
        <v/>
      </c>
      <c r="BL41" s="5" t="str">
        <f>""</f>
        <v/>
      </c>
      <c r="BM41" s="5" t="str">
        <f>""</f>
        <v/>
      </c>
      <c r="BN41" s="5" t="str">
        <f t="shared" si="63"/>
        <v>нет</v>
      </c>
      <c r="BO41" s="5" t="str">
        <f>""</f>
        <v/>
      </c>
      <c r="BP41" s="5" t="str">
        <f>""</f>
        <v/>
      </c>
      <c r="BQ41" s="5" t="str">
        <f>""</f>
        <v/>
      </c>
      <c r="BR41" s="5" t="str">
        <f>""</f>
        <v/>
      </c>
      <c r="BS41" s="5" t="str">
        <f>"40,00"</f>
        <v>40,00</v>
      </c>
      <c r="BT41" s="5" t="str">
        <f>"2020"</f>
        <v>2020</v>
      </c>
      <c r="BU41" s="5" t="str">
        <f t="shared" si="10"/>
        <v>нет</v>
      </c>
      <c r="BV41" s="5" t="str">
        <f t="shared" si="64"/>
        <v>x</v>
      </c>
      <c r="BW41" s="5" t="str">
        <f t="shared" si="64"/>
        <v>x</v>
      </c>
      <c r="BX41" s="5" t="str">
        <f t="shared" si="64"/>
        <v>x</v>
      </c>
      <c r="BY41" s="5" t="str">
        <f t="shared" si="12"/>
        <v>нет</v>
      </c>
      <c r="BZ41" s="5" t="str">
        <f t="shared" ref="BZ41:CB45" si="69">"x"</f>
        <v>x</v>
      </c>
      <c r="CA41" s="5" t="str">
        <f t="shared" si="69"/>
        <v>x</v>
      </c>
      <c r="CB41" s="5" t="str">
        <f t="shared" si="69"/>
        <v>x</v>
      </c>
      <c r="CC41" s="5" t="str">
        <f>""</f>
        <v/>
      </c>
      <c r="CD41" s="5" t="str">
        <f>"30,00"</f>
        <v>30,00</v>
      </c>
      <c r="CE41" s="5" t="str">
        <f>"2024"</f>
        <v>2024</v>
      </c>
      <c r="CF41" s="5" t="str">
        <f>""</f>
        <v/>
      </c>
      <c r="CG41" s="5" t="str">
        <f>"20,00"</f>
        <v>20,00</v>
      </c>
      <c r="CH41" s="5" t="str">
        <f>"2026"</f>
        <v>2026</v>
      </c>
      <c r="CI41" s="5" t="str">
        <f>"39,00"</f>
        <v>39,00</v>
      </c>
      <c r="CJ41" s="5" t="str">
        <f>"2042"</f>
        <v>2042</v>
      </c>
    </row>
    <row r="42" spans="1:88" ht="11.25" customHeight="1">
      <c r="A42" s="3" t="str">
        <f>"1.29"</f>
        <v>1.29</v>
      </c>
      <c r="B42" s="4" t="str">
        <f>"г. Грязовец, ул. Беляева, д.3"</f>
        <v>г. Грязовец, ул. Беляева, д.3</v>
      </c>
      <c r="C42" s="7" t="str">
        <f>"1972"</f>
        <v>1972</v>
      </c>
      <c r="D42" s="5" t="str">
        <f>""</f>
        <v/>
      </c>
      <c r="E42" s="5" t="str">
        <f>"35,00"</f>
        <v>35,00</v>
      </c>
      <c r="F42" s="5" t="str">
        <f>"2025"</f>
        <v>2025</v>
      </c>
      <c r="G42" s="5" t="str">
        <f t="shared" si="46"/>
        <v>нет</v>
      </c>
      <c r="H42" s="5" t="str">
        <f>""</f>
        <v/>
      </c>
      <c r="I42" s="5" t="str">
        <f>""</f>
        <v/>
      </c>
      <c r="J42" s="5" t="str">
        <f>""</f>
        <v/>
      </c>
      <c r="K42" s="5" t="str">
        <f t="shared" si="47"/>
        <v>нет</v>
      </c>
      <c r="L42" s="5" t="str">
        <f>""</f>
        <v/>
      </c>
      <c r="M42" s="5" t="str">
        <f>""</f>
        <v/>
      </c>
      <c r="N42" s="5" t="str">
        <f>""</f>
        <v/>
      </c>
      <c r="O42" s="8" t="str">
        <f>""</f>
        <v/>
      </c>
      <c r="P42" s="5" t="str">
        <f>"35,00"</f>
        <v>35,00</v>
      </c>
      <c r="Q42" s="5" t="str">
        <f>"2026"</f>
        <v>2026</v>
      </c>
      <c r="R42" s="5" t="str">
        <f t="shared" si="49"/>
        <v>нет</v>
      </c>
      <c r="S42" s="5" t="str">
        <f>""</f>
        <v/>
      </c>
      <c r="T42" s="5" t="str">
        <f>""</f>
        <v/>
      </c>
      <c r="U42" s="5" t="str">
        <f>""</f>
        <v/>
      </c>
      <c r="V42" s="5" t="str">
        <f t="shared" si="51"/>
        <v>нет</v>
      </c>
      <c r="W42" s="5" t="str">
        <f>""</f>
        <v/>
      </c>
      <c r="X42" s="5" t="str">
        <f>""</f>
        <v/>
      </c>
      <c r="Y42" s="9" t="str">
        <f>""</f>
        <v/>
      </c>
      <c r="Z42" s="5" t="str">
        <f>""</f>
        <v/>
      </c>
      <c r="AA42" s="5" t="str">
        <f>"20,00"</f>
        <v>20,00</v>
      </c>
      <c r="AB42" s="5" t="str">
        <f>"2029"</f>
        <v>2029</v>
      </c>
      <c r="AC42" s="5" t="str">
        <f t="shared" si="53"/>
        <v>нет</v>
      </c>
      <c r="AD42" s="5" t="str">
        <f>""</f>
        <v/>
      </c>
      <c r="AE42" s="5" t="str">
        <f>""</f>
        <v/>
      </c>
      <c r="AF42" s="5" t="str">
        <f>""</f>
        <v/>
      </c>
      <c r="AG42" s="5" t="str">
        <f t="shared" si="54"/>
        <v>нет</v>
      </c>
      <c r="AH42" s="5" t="str">
        <f>""</f>
        <v/>
      </c>
      <c r="AI42" s="5" t="str">
        <f>""</f>
        <v/>
      </c>
      <c r="AJ42" s="5" t="str">
        <f>""</f>
        <v/>
      </c>
      <c r="AK42" s="8" t="str">
        <f>""</f>
        <v/>
      </c>
      <c r="AL42" s="5" t="str">
        <f>"25,00"</f>
        <v>25,00</v>
      </c>
      <c r="AM42" s="5" t="str">
        <f>"2026"</f>
        <v>2026</v>
      </c>
      <c r="AN42" s="5" t="str">
        <f t="shared" si="56"/>
        <v>нет</v>
      </c>
      <c r="AO42" s="5" t="str">
        <f>""</f>
        <v/>
      </c>
      <c r="AP42" s="5" t="str">
        <f>""</f>
        <v/>
      </c>
      <c r="AQ42" s="5" t="str">
        <f>""</f>
        <v/>
      </c>
      <c r="AR42" s="5" t="str">
        <f t="shared" si="57"/>
        <v>нет</v>
      </c>
      <c r="AS42" s="5" t="str">
        <f>""</f>
        <v/>
      </c>
      <c r="AT42" s="5" t="str">
        <f>""</f>
        <v/>
      </c>
      <c r="AU42" s="5" t="str">
        <f>""</f>
        <v/>
      </c>
      <c r="AV42" s="5" t="str">
        <f>""</f>
        <v/>
      </c>
      <c r="AW42" s="5" t="str">
        <f>"25,00"</f>
        <v>25,00</v>
      </c>
      <c r="AX42" s="5" t="str">
        <f>"2026"</f>
        <v>2026</v>
      </c>
      <c r="AY42" s="5" t="str">
        <f t="shared" si="67"/>
        <v>нет</v>
      </c>
      <c r="AZ42" s="5" t="str">
        <f>""</f>
        <v/>
      </c>
      <c r="BA42" s="5" t="str">
        <f>""</f>
        <v/>
      </c>
      <c r="BB42" s="5" t="str">
        <f>""</f>
        <v/>
      </c>
      <c r="BC42" s="5" t="str">
        <f t="shared" si="68"/>
        <v>нет</v>
      </c>
      <c r="BD42" s="5" t="str">
        <f>""</f>
        <v/>
      </c>
      <c r="BE42" s="5" t="str">
        <f>""</f>
        <v/>
      </c>
      <c r="BF42" s="5" t="str">
        <f>""</f>
        <v/>
      </c>
      <c r="BG42" s="5" t="str">
        <f>""</f>
        <v/>
      </c>
      <c r="BH42" s="5" t="str">
        <f>"30,00"</f>
        <v>30,00</v>
      </c>
      <c r="BI42" s="5" t="str">
        <f>"2024"</f>
        <v>2024</v>
      </c>
      <c r="BJ42" s="5" t="str">
        <f t="shared" si="62"/>
        <v>нет</v>
      </c>
      <c r="BK42" s="5" t="str">
        <f>""</f>
        <v/>
      </c>
      <c r="BL42" s="5" t="str">
        <f>""</f>
        <v/>
      </c>
      <c r="BM42" s="5" t="str">
        <f>""</f>
        <v/>
      </c>
      <c r="BN42" s="5" t="str">
        <f t="shared" si="63"/>
        <v>нет</v>
      </c>
      <c r="BO42" s="5" t="str">
        <f>""</f>
        <v/>
      </c>
      <c r="BP42" s="5" t="str">
        <f>""</f>
        <v/>
      </c>
      <c r="BQ42" s="5" t="str">
        <f>""</f>
        <v/>
      </c>
      <c r="BR42" s="5" t="str">
        <f>""</f>
        <v/>
      </c>
      <c r="BS42" s="5" t="str">
        <f>"35,00"</f>
        <v>35,00</v>
      </c>
      <c r="BT42" s="5" t="str">
        <f>"2020"</f>
        <v>2020</v>
      </c>
      <c r="BU42" s="5" t="str">
        <f t="shared" si="10"/>
        <v>нет</v>
      </c>
      <c r="BV42" s="5" t="str">
        <f t="shared" si="64"/>
        <v>x</v>
      </c>
      <c r="BW42" s="5" t="str">
        <f t="shared" si="64"/>
        <v>x</v>
      </c>
      <c r="BX42" s="5" t="str">
        <f t="shared" si="64"/>
        <v>x</v>
      </c>
      <c r="BY42" s="5" t="str">
        <f t="shared" si="12"/>
        <v>нет</v>
      </c>
      <c r="BZ42" s="5" t="str">
        <f t="shared" si="69"/>
        <v>x</v>
      </c>
      <c r="CA42" s="5" t="str">
        <f t="shared" si="69"/>
        <v>x</v>
      </c>
      <c r="CB42" s="5" t="str">
        <f t="shared" si="69"/>
        <v>x</v>
      </c>
      <c r="CC42" s="5" t="str">
        <f>""</f>
        <v/>
      </c>
      <c r="CD42" s="5" t="str">
        <f>"25,00"</f>
        <v>25,00</v>
      </c>
      <c r="CE42" s="5" t="str">
        <f>"2030"</f>
        <v>2030</v>
      </c>
      <c r="CF42" s="5" t="str">
        <f>""</f>
        <v/>
      </c>
      <c r="CG42" s="5" t="str">
        <f>"23,00"</f>
        <v>23,00</v>
      </c>
      <c r="CH42" s="5" t="str">
        <f>"2031"</f>
        <v>2031</v>
      </c>
      <c r="CI42" s="5" t="str">
        <f>"33,00"</f>
        <v>33,00</v>
      </c>
      <c r="CJ42" s="5" t="str">
        <f>"2042"</f>
        <v>2042</v>
      </c>
    </row>
    <row r="43" spans="1:88" ht="11.25" customHeight="1">
      <c r="A43" s="3" t="str">
        <f>"1.30"</f>
        <v>1.30</v>
      </c>
      <c r="B43" s="4" t="str">
        <f>"г. Грязовец, ул. Беляева, д.37"</f>
        <v>г. Грязовец, ул. Беляева, д.37</v>
      </c>
      <c r="C43" s="7" t="str">
        <f>"1973"</f>
        <v>1973</v>
      </c>
      <c r="D43" s="5" t="str">
        <f>""</f>
        <v/>
      </c>
      <c r="E43" s="5" t="str">
        <f>"35,00"</f>
        <v>35,00</v>
      </c>
      <c r="F43" s="5" t="str">
        <f>"2026"</f>
        <v>2026</v>
      </c>
      <c r="G43" s="5" t="str">
        <f t="shared" si="46"/>
        <v>нет</v>
      </c>
      <c r="H43" s="5" t="str">
        <f>""</f>
        <v/>
      </c>
      <c r="I43" s="5" t="str">
        <f>""</f>
        <v/>
      </c>
      <c r="J43" s="5" t="str">
        <f>""</f>
        <v/>
      </c>
      <c r="K43" s="5" t="str">
        <f t="shared" si="47"/>
        <v>нет</v>
      </c>
      <c r="L43" s="5" t="str">
        <f>""</f>
        <v/>
      </c>
      <c r="M43" s="5" t="str">
        <f>""</f>
        <v/>
      </c>
      <c r="N43" s="5" t="str">
        <f>""</f>
        <v/>
      </c>
      <c r="O43" s="8" t="str">
        <f>""</f>
        <v/>
      </c>
      <c r="P43" s="5" t="str">
        <f>"30,00"</f>
        <v>30,00</v>
      </c>
      <c r="Q43" s="5" t="str">
        <f>"2027"</f>
        <v>2027</v>
      </c>
      <c r="R43" s="5" t="str">
        <f t="shared" si="49"/>
        <v>нет</v>
      </c>
      <c r="S43" s="5" t="str">
        <f>""</f>
        <v/>
      </c>
      <c r="T43" s="5" t="str">
        <f>""</f>
        <v/>
      </c>
      <c r="U43" s="5" t="str">
        <f>""</f>
        <v/>
      </c>
      <c r="V43" s="5" t="str">
        <f t="shared" si="51"/>
        <v>нет</v>
      </c>
      <c r="W43" s="5" t="str">
        <f>""</f>
        <v/>
      </c>
      <c r="X43" s="5" t="str">
        <f>""</f>
        <v/>
      </c>
      <c r="Y43" s="9" t="str">
        <f>""</f>
        <v/>
      </c>
      <c r="Z43" s="5" t="str">
        <f>""</f>
        <v/>
      </c>
      <c r="AA43" s="5" t="str">
        <f>"20,00"</f>
        <v>20,00</v>
      </c>
      <c r="AB43" s="5" t="str">
        <f>"2030"</f>
        <v>2030</v>
      </c>
      <c r="AC43" s="5" t="str">
        <f t="shared" si="53"/>
        <v>нет</v>
      </c>
      <c r="AD43" s="5" t="str">
        <f>""</f>
        <v/>
      </c>
      <c r="AE43" s="5" t="str">
        <f>""</f>
        <v/>
      </c>
      <c r="AF43" s="5" t="str">
        <f>""</f>
        <v/>
      </c>
      <c r="AG43" s="5" t="str">
        <f t="shared" si="54"/>
        <v>нет</v>
      </c>
      <c r="AH43" s="5" t="str">
        <f>""</f>
        <v/>
      </c>
      <c r="AI43" s="5" t="str">
        <f>""</f>
        <v/>
      </c>
      <c r="AJ43" s="5" t="str">
        <f>""</f>
        <v/>
      </c>
      <c r="AK43" s="8" t="str">
        <f>""</f>
        <v/>
      </c>
      <c r="AL43" s="5" t="str">
        <f>"30,00"</f>
        <v>30,00</v>
      </c>
      <c r="AM43" s="5" t="str">
        <f>"2028"</f>
        <v>2028</v>
      </c>
      <c r="AN43" s="5" t="str">
        <f t="shared" si="56"/>
        <v>нет</v>
      </c>
      <c r="AO43" s="5" t="str">
        <f>""</f>
        <v/>
      </c>
      <c r="AP43" s="5" t="str">
        <f>""</f>
        <v/>
      </c>
      <c r="AQ43" s="5" t="str">
        <f>""</f>
        <v/>
      </c>
      <c r="AR43" s="5" t="str">
        <f t="shared" si="57"/>
        <v>нет</v>
      </c>
      <c r="AS43" s="5" t="str">
        <f>""</f>
        <v/>
      </c>
      <c r="AT43" s="5" t="str">
        <f>""</f>
        <v/>
      </c>
      <c r="AU43" s="5" t="str">
        <f>""</f>
        <v/>
      </c>
      <c r="AV43" s="5" t="str">
        <f>""</f>
        <v/>
      </c>
      <c r="AW43" s="5" t="str">
        <f>"30,00"</f>
        <v>30,00</v>
      </c>
      <c r="AX43" s="5" t="str">
        <f>"2028"</f>
        <v>2028</v>
      </c>
      <c r="AY43" s="5" t="str">
        <f t="shared" si="67"/>
        <v>нет</v>
      </c>
      <c r="AZ43" s="5" t="str">
        <f>""</f>
        <v/>
      </c>
      <c r="BA43" s="5" t="str">
        <f>""</f>
        <v/>
      </c>
      <c r="BB43" s="5" t="str">
        <f>""</f>
        <v/>
      </c>
      <c r="BC43" s="5" t="str">
        <f t="shared" si="68"/>
        <v>нет</v>
      </c>
      <c r="BD43" s="5" t="str">
        <f>""</f>
        <v/>
      </c>
      <c r="BE43" s="5" t="str">
        <f>""</f>
        <v/>
      </c>
      <c r="BF43" s="5" t="str">
        <f>""</f>
        <v/>
      </c>
      <c r="BG43" s="5" t="str">
        <f>""</f>
        <v/>
      </c>
      <c r="BH43" s="5" t="str">
        <f>"35,00"</f>
        <v>35,00</v>
      </c>
      <c r="BI43" s="5" t="str">
        <f>"2026"</f>
        <v>2026</v>
      </c>
      <c r="BJ43" s="5" t="str">
        <f t="shared" si="62"/>
        <v>нет</v>
      </c>
      <c r="BK43" s="5" t="str">
        <f>""</f>
        <v/>
      </c>
      <c r="BL43" s="5" t="str">
        <f>""</f>
        <v/>
      </c>
      <c r="BM43" s="5" t="str">
        <f>""</f>
        <v/>
      </c>
      <c r="BN43" s="5" t="str">
        <f t="shared" si="63"/>
        <v>нет</v>
      </c>
      <c r="BO43" s="5" t="str">
        <f>""</f>
        <v/>
      </c>
      <c r="BP43" s="5" t="str">
        <f>""</f>
        <v/>
      </c>
      <c r="BQ43" s="5" t="str">
        <f>""</f>
        <v/>
      </c>
      <c r="BR43" s="5" t="str">
        <f>""</f>
        <v/>
      </c>
      <c r="BS43" s="5" t="str">
        <f>"40,00"</f>
        <v>40,00</v>
      </c>
      <c r="BT43" s="5" t="str">
        <f>"2020"</f>
        <v>2020</v>
      </c>
      <c r="BU43" s="5" t="str">
        <f t="shared" si="10"/>
        <v>нет</v>
      </c>
      <c r="BV43" s="5" t="str">
        <f t="shared" si="64"/>
        <v>x</v>
      </c>
      <c r="BW43" s="5" t="str">
        <f t="shared" si="64"/>
        <v>x</v>
      </c>
      <c r="BX43" s="5" t="str">
        <f t="shared" si="64"/>
        <v>x</v>
      </c>
      <c r="BY43" s="5" t="str">
        <f t="shared" si="12"/>
        <v>нет</v>
      </c>
      <c r="BZ43" s="5" t="str">
        <f t="shared" si="69"/>
        <v>x</v>
      </c>
      <c r="CA43" s="5" t="str">
        <f t="shared" si="69"/>
        <v>x</v>
      </c>
      <c r="CB43" s="5" t="str">
        <f t="shared" si="69"/>
        <v>x</v>
      </c>
      <c r="CC43" s="5" t="str">
        <f>""</f>
        <v/>
      </c>
      <c r="CD43" s="5" t="str">
        <f>"20,00"</f>
        <v>20,00</v>
      </c>
      <c r="CE43" s="5" t="str">
        <f>"2029"</f>
        <v>2029</v>
      </c>
      <c r="CF43" s="5" t="str">
        <f>""</f>
        <v/>
      </c>
      <c r="CG43" s="5" t="str">
        <f>"20,00"</f>
        <v>20,00</v>
      </c>
      <c r="CH43" s="5" t="str">
        <f>"2031"</f>
        <v>2031</v>
      </c>
      <c r="CI43" s="5" t="str">
        <f>"34,00"</f>
        <v>34,00</v>
      </c>
      <c r="CJ43" s="5" t="str">
        <f>"2043"</f>
        <v>2043</v>
      </c>
    </row>
    <row r="44" spans="1:88" ht="11.25" customHeight="1">
      <c r="A44" s="3" t="str">
        <f>"1.31"</f>
        <v>1.31</v>
      </c>
      <c r="B44" s="4" t="str">
        <f>"г. Грязовец, ул. Беляева, д.4"</f>
        <v>г. Грязовец, ул. Беляева, д.4</v>
      </c>
      <c r="C44" s="7" t="str">
        <f>"1980"</f>
        <v>1980</v>
      </c>
      <c r="D44" s="5" t="str">
        <f>""</f>
        <v/>
      </c>
      <c r="E44" s="5" t="str">
        <f>"15,00"</f>
        <v>15,00</v>
      </c>
      <c r="F44" s="5" t="str">
        <f>"2030"</f>
        <v>2030</v>
      </c>
      <c r="G44" s="5" t="str">
        <f t="shared" si="46"/>
        <v>нет</v>
      </c>
      <c r="H44" s="5" t="str">
        <f>""</f>
        <v/>
      </c>
      <c r="I44" s="5" t="str">
        <f>""</f>
        <v/>
      </c>
      <c r="J44" s="5" t="str">
        <f>""</f>
        <v/>
      </c>
      <c r="K44" s="5" t="str">
        <f t="shared" si="47"/>
        <v>нет</v>
      </c>
      <c r="L44" s="5" t="str">
        <f>""</f>
        <v/>
      </c>
      <c r="M44" s="5" t="str">
        <f>""</f>
        <v/>
      </c>
      <c r="N44" s="5" t="str">
        <f>""</f>
        <v/>
      </c>
      <c r="O44" s="8" t="str">
        <f>""</f>
        <v/>
      </c>
      <c r="P44" s="5" t="str">
        <f>"15,00"</f>
        <v>15,00</v>
      </c>
      <c r="Q44" s="5" t="str">
        <f>"2030"</f>
        <v>2030</v>
      </c>
      <c r="R44" s="5" t="str">
        <f t="shared" si="49"/>
        <v>нет</v>
      </c>
      <c r="S44" s="5" t="str">
        <f>""</f>
        <v/>
      </c>
      <c r="T44" s="5" t="str">
        <f>""</f>
        <v/>
      </c>
      <c r="U44" s="5" t="str">
        <f>""</f>
        <v/>
      </c>
      <c r="V44" s="5" t="str">
        <f t="shared" si="51"/>
        <v>нет</v>
      </c>
      <c r="W44" s="5" t="str">
        <f>""</f>
        <v/>
      </c>
      <c r="X44" s="5" t="str">
        <f>""</f>
        <v/>
      </c>
      <c r="Y44" s="9" t="str">
        <f>""</f>
        <v/>
      </c>
      <c r="Z44" s="5" t="str">
        <f>""</f>
        <v/>
      </c>
      <c r="AA44" s="5" t="str">
        <f>"10,00"</f>
        <v>10,00</v>
      </c>
      <c r="AB44" s="5" t="str">
        <f>"2033"</f>
        <v>2033</v>
      </c>
      <c r="AC44" s="5" t="str">
        <f t="shared" si="53"/>
        <v>нет</v>
      </c>
      <c r="AD44" s="5" t="str">
        <f>""</f>
        <v/>
      </c>
      <c r="AE44" s="5" t="str">
        <f>""</f>
        <v/>
      </c>
      <c r="AF44" s="5" t="str">
        <f>""</f>
        <v/>
      </c>
      <c r="AG44" s="5" t="str">
        <f t="shared" si="54"/>
        <v>нет</v>
      </c>
      <c r="AH44" s="5" t="str">
        <f>""</f>
        <v/>
      </c>
      <c r="AI44" s="5" t="str">
        <f>""</f>
        <v/>
      </c>
      <c r="AJ44" s="5" t="str">
        <f>""</f>
        <v/>
      </c>
      <c r="AK44" s="8" t="str">
        <f>""</f>
        <v/>
      </c>
      <c r="AL44" s="5" t="str">
        <f>"10,00"</f>
        <v>10,00</v>
      </c>
      <c r="AM44" s="5" t="str">
        <f>"2032"</f>
        <v>2032</v>
      </c>
      <c r="AN44" s="5" t="str">
        <f t="shared" si="56"/>
        <v>нет</v>
      </c>
      <c r="AO44" s="5" t="str">
        <f>""</f>
        <v/>
      </c>
      <c r="AP44" s="5" t="str">
        <f>""</f>
        <v/>
      </c>
      <c r="AQ44" s="5" t="str">
        <f>""</f>
        <v/>
      </c>
      <c r="AR44" s="5" t="str">
        <f t="shared" si="57"/>
        <v>нет</v>
      </c>
      <c r="AS44" s="5" t="str">
        <f>""</f>
        <v/>
      </c>
      <c r="AT44" s="5" t="str">
        <f>""</f>
        <v/>
      </c>
      <c r="AU44" s="5" t="str">
        <f>""</f>
        <v/>
      </c>
      <c r="AV44" s="5" t="str">
        <f>""</f>
        <v/>
      </c>
      <c r="AW44" s="5" t="str">
        <f>"10,00"</f>
        <v>10,00</v>
      </c>
      <c r="AX44" s="5" t="str">
        <f>"2032"</f>
        <v>2032</v>
      </c>
      <c r="AY44" s="5" t="str">
        <f t="shared" si="67"/>
        <v>нет</v>
      </c>
      <c r="AZ44" s="5" t="str">
        <f>""</f>
        <v/>
      </c>
      <c r="BA44" s="5" t="str">
        <f>""</f>
        <v/>
      </c>
      <c r="BB44" s="5" t="str">
        <f>""</f>
        <v/>
      </c>
      <c r="BC44" s="5" t="str">
        <f t="shared" si="68"/>
        <v>нет</v>
      </c>
      <c r="BD44" s="5" t="str">
        <f>""</f>
        <v/>
      </c>
      <c r="BE44" s="5" t="str">
        <f>""</f>
        <v/>
      </c>
      <c r="BF44" s="5" t="str">
        <f>""</f>
        <v/>
      </c>
      <c r="BG44" s="5" t="str">
        <f>""</f>
        <v/>
      </c>
      <c r="BH44" s="5" t="str">
        <f>"10,00"</f>
        <v>10,00</v>
      </c>
      <c r="BI44" s="5" t="str">
        <f>"2031"</f>
        <v>2031</v>
      </c>
      <c r="BJ44" s="5" t="str">
        <f t="shared" si="62"/>
        <v>нет</v>
      </c>
      <c r="BK44" s="5" t="str">
        <f>""</f>
        <v/>
      </c>
      <c r="BL44" s="5" t="str">
        <f>""</f>
        <v/>
      </c>
      <c r="BM44" s="5" t="str">
        <f>""</f>
        <v/>
      </c>
      <c r="BN44" s="5" t="str">
        <f t="shared" si="63"/>
        <v>нет</v>
      </c>
      <c r="BO44" s="5" t="str">
        <f>""</f>
        <v/>
      </c>
      <c r="BP44" s="5" t="str">
        <f>""</f>
        <v/>
      </c>
      <c r="BQ44" s="5" t="str">
        <f>""</f>
        <v/>
      </c>
      <c r="BR44" s="5" t="str">
        <f>""</f>
        <v/>
      </c>
      <c r="BS44" s="5" t="str">
        <f>"10,00"</f>
        <v>10,00</v>
      </c>
      <c r="BT44" s="5" t="str">
        <f>"2023"</f>
        <v>2023</v>
      </c>
      <c r="BU44" s="5" t="str">
        <f t="shared" si="10"/>
        <v>нет</v>
      </c>
      <c r="BV44" s="5" t="str">
        <f t="shared" si="64"/>
        <v>x</v>
      </c>
      <c r="BW44" s="5" t="str">
        <f t="shared" si="64"/>
        <v>x</v>
      </c>
      <c r="BX44" s="5" t="str">
        <f t="shared" si="64"/>
        <v>x</v>
      </c>
      <c r="BY44" s="5" t="str">
        <f t="shared" si="12"/>
        <v>нет</v>
      </c>
      <c r="BZ44" s="5" t="str">
        <f t="shared" si="69"/>
        <v>x</v>
      </c>
      <c r="CA44" s="5" t="str">
        <f t="shared" si="69"/>
        <v>x</v>
      </c>
      <c r="CB44" s="5" t="str">
        <f t="shared" si="69"/>
        <v>x</v>
      </c>
      <c r="CC44" s="5" t="str">
        <f>""</f>
        <v/>
      </c>
      <c r="CD44" s="5" t="str">
        <f>"10,00"</f>
        <v>10,00</v>
      </c>
      <c r="CE44" s="5" t="str">
        <f>"2035"</f>
        <v>2035</v>
      </c>
      <c r="CF44" s="5" t="str">
        <f>""</f>
        <v/>
      </c>
      <c r="CG44" s="5" t="str">
        <f>"10,00"</f>
        <v>10,00</v>
      </c>
      <c r="CH44" s="5" t="str">
        <f>"2036"</f>
        <v>2036</v>
      </c>
      <c r="CI44" s="5" t="str">
        <f>"16,00"</f>
        <v>16,00</v>
      </c>
      <c r="CJ44" s="5" t="str">
        <f>"2044"</f>
        <v>2044</v>
      </c>
    </row>
    <row r="45" spans="1:88" ht="11.25" customHeight="1">
      <c r="A45" s="3" t="str">
        <f>"1.32"</f>
        <v>1.32</v>
      </c>
      <c r="B45" s="4" t="str">
        <f>"г. Грязовец, ул. Волкова, д.10"</f>
        <v>г. Грязовец, ул. Волкова, д.10</v>
      </c>
      <c r="C45" s="7" t="str">
        <f>"1969"</f>
        <v>1969</v>
      </c>
      <c r="D45" s="5" t="str">
        <f>""</f>
        <v/>
      </c>
      <c r="E45" s="5" t="str">
        <f>"30,00"</f>
        <v>30,00</v>
      </c>
      <c r="F45" s="5" t="str">
        <f>"2023"</f>
        <v>2023</v>
      </c>
      <c r="G45" s="5" t="str">
        <f t="shared" ref="G45:G51" si="70">"да"</f>
        <v>да</v>
      </c>
      <c r="H45" s="5" t="str">
        <f>""</f>
        <v/>
      </c>
      <c r="I45" s="5" t="str">
        <f>"20,00"</f>
        <v>20,00</v>
      </c>
      <c r="J45" s="5" t="str">
        <f>"2023"</f>
        <v>2023</v>
      </c>
      <c r="K45" s="5" t="str">
        <f t="shared" si="47"/>
        <v>нет</v>
      </c>
      <c r="L45" s="5" t="str">
        <f>""</f>
        <v/>
      </c>
      <c r="M45" s="5" t="str">
        <f>""</f>
        <v/>
      </c>
      <c r="N45" s="5" t="str">
        <f>""</f>
        <v/>
      </c>
      <c r="O45" s="8" t="str">
        <f>""</f>
        <v/>
      </c>
      <c r="P45" s="5" t="str">
        <f>"27,00"</f>
        <v>27,00</v>
      </c>
      <c r="Q45" s="5" t="str">
        <f>"2021"</f>
        <v>2021</v>
      </c>
      <c r="R45" s="5" t="str">
        <f t="shared" si="49"/>
        <v>нет</v>
      </c>
      <c r="S45" s="5" t="str">
        <f>""</f>
        <v/>
      </c>
      <c r="T45" s="5" t="str">
        <f>""</f>
        <v/>
      </c>
      <c r="U45" s="5" t="str">
        <f>""</f>
        <v/>
      </c>
      <c r="V45" s="5" t="str">
        <f t="shared" si="51"/>
        <v>нет</v>
      </c>
      <c r="W45" s="5" t="str">
        <f>""</f>
        <v/>
      </c>
      <c r="X45" s="5" t="str">
        <f>""</f>
        <v/>
      </c>
      <c r="Y45" s="9" t="str">
        <f>""</f>
        <v/>
      </c>
      <c r="Z45" s="5" t="str">
        <f>""</f>
        <v/>
      </c>
      <c r="AA45" s="5" t="str">
        <f>"29,00"</f>
        <v>29,00</v>
      </c>
      <c r="AB45" s="5" t="str">
        <f>"2026"</f>
        <v>2026</v>
      </c>
      <c r="AC45" s="5" t="str">
        <f t="shared" si="53"/>
        <v>нет</v>
      </c>
      <c r="AD45" s="5" t="str">
        <f>""</f>
        <v/>
      </c>
      <c r="AE45" s="5" t="str">
        <f>""</f>
        <v/>
      </c>
      <c r="AF45" s="5" t="str">
        <f>""</f>
        <v/>
      </c>
      <c r="AG45" s="5" t="str">
        <f t="shared" si="54"/>
        <v>нет</v>
      </c>
      <c r="AH45" s="5" t="str">
        <f>""</f>
        <v/>
      </c>
      <c r="AI45" s="5" t="str">
        <f>""</f>
        <v/>
      </c>
      <c r="AJ45" s="5" t="str">
        <f>""</f>
        <v/>
      </c>
      <c r="AK45" s="8" t="str">
        <f>""</f>
        <v/>
      </c>
      <c r="AL45" s="5" t="str">
        <f>"26,00"</f>
        <v>26,00</v>
      </c>
      <c r="AM45" s="5" t="str">
        <f>"2025"</f>
        <v>2025</v>
      </c>
      <c r="AN45" s="5" t="str">
        <f t="shared" si="56"/>
        <v>нет</v>
      </c>
      <c r="AO45" s="5" t="str">
        <f>""</f>
        <v/>
      </c>
      <c r="AP45" s="5" t="str">
        <f>""</f>
        <v/>
      </c>
      <c r="AQ45" s="5" t="str">
        <f>""</f>
        <v/>
      </c>
      <c r="AR45" s="5" t="str">
        <f t="shared" si="57"/>
        <v>нет</v>
      </c>
      <c r="AS45" s="5" t="str">
        <f>""</f>
        <v/>
      </c>
      <c r="AT45" s="5" t="str">
        <f>""</f>
        <v/>
      </c>
      <c r="AU45" s="5" t="str">
        <f>""</f>
        <v/>
      </c>
      <c r="AV45" s="5" t="str">
        <f>"х"</f>
        <v>х</v>
      </c>
      <c r="AW45" s="5" t="str">
        <f>"х"</f>
        <v>х</v>
      </c>
      <c r="AX45" s="5" t="str">
        <f>"х"</f>
        <v>х</v>
      </c>
      <c r="AY45" s="5" t="str">
        <f t="shared" si="67"/>
        <v>нет</v>
      </c>
      <c r="AZ45" s="5" t="str">
        <f t="shared" ref="AZ45:BB56" si="71">"х"</f>
        <v>х</v>
      </c>
      <c r="BA45" s="5" t="str">
        <f t="shared" si="71"/>
        <v>х</v>
      </c>
      <c r="BB45" s="5" t="str">
        <f t="shared" si="71"/>
        <v>х</v>
      </c>
      <c r="BC45" s="5" t="str">
        <f t="shared" si="68"/>
        <v>нет</v>
      </c>
      <c r="BD45" s="5" t="str">
        <f t="shared" ref="BD45:BF56" si="72">"х"</f>
        <v>х</v>
      </c>
      <c r="BE45" s="5" t="str">
        <f t="shared" si="72"/>
        <v>х</v>
      </c>
      <c r="BF45" s="5" t="str">
        <f t="shared" si="72"/>
        <v>х</v>
      </c>
      <c r="BG45" s="5" t="str">
        <f>"1969"</f>
        <v>1969</v>
      </c>
      <c r="BH45" s="5" t="str">
        <f>"25,00"</f>
        <v>25,00</v>
      </c>
      <c r="BI45" s="5" t="str">
        <f>"2020"</f>
        <v>2020</v>
      </c>
      <c r="BJ45" s="5" t="str">
        <f t="shared" si="62"/>
        <v>нет</v>
      </c>
      <c r="BK45" s="5" t="str">
        <f>""</f>
        <v/>
      </c>
      <c r="BL45" s="5" t="str">
        <f>""</f>
        <v/>
      </c>
      <c r="BM45" s="5" t="str">
        <f>""</f>
        <v/>
      </c>
      <c r="BN45" s="5" t="str">
        <f t="shared" si="63"/>
        <v>нет</v>
      </c>
      <c r="BO45" s="5" t="str">
        <f>""</f>
        <v/>
      </c>
      <c r="BP45" s="5" t="str">
        <f>""</f>
        <v/>
      </c>
      <c r="BQ45" s="5" t="str">
        <f>""</f>
        <v/>
      </c>
      <c r="BR45" s="5" t="str">
        <f>""</f>
        <v/>
      </c>
      <c r="BS45" s="5" t="str">
        <f>"29,00"</f>
        <v>29,00</v>
      </c>
      <c r="BT45" s="5" t="str">
        <f>"2025"</f>
        <v>2025</v>
      </c>
      <c r="BU45" s="5" t="str">
        <f t="shared" si="10"/>
        <v>нет</v>
      </c>
      <c r="BV45" s="5" t="str">
        <f t="shared" si="64"/>
        <v>x</v>
      </c>
      <c r="BW45" s="5" t="str">
        <f t="shared" si="64"/>
        <v>x</v>
      </c>
      <c r="BX45" s="5" t="str">
        <f t="shared" si="64"/>
        <v>x</v>
      </c>
      <c r="BY45" s="5" t="str">
        <f t="shared" si="12"/>
        <v>нет</v>
      </c>
      <c r="BZ45" s="5" t="str">
        <f t="shared" si="69"/>
        <v>x</v>
      </c>
      <c r="CA45" s="5" t="str">
        <f t="shared" si="69"/>
        <v>x</v>
      </c>
      <c r="CB45" s="5" t="str">
        <f t="shared" si="69"/>
        <v>x</v>
      </c>
      <c r="CC45" s="5" t="str">
        <f>""</f>
        <v/>
      </c>
      <c r="CD45" s="5" t="str">
        <f>"50,00"</f>
        <v>50,00</v>
      </c>
      <c r="CE45" s="5" t="str">
        <f>"2017"</f>
        <v>2017</v>
      </c>
      <c r="CF45" s="5" t="str">
        <f>"1969"</f>
        <v>1969</v>
      </c>
      <c r="CG45" s="5" t="str">
        <f>"23,00"</f>
        <v>23,00</v>
      </c>
      <c r="CH45" s="5" t="str">
        <f>"2017"</f>
        <v>2017</v>
      </c>
      <c r="CI45" s="5" t="str">
        <f>"27,00"</f>
        <v>27,00</v>
      </c>
      <c r="CJ45" s="5" t="str">
        <f>"2041"</f>
        <v>2041</v>
      </c>
    </row>
    <row r="46" spans="1:88" ht="11.25" customHeight="1">
      <c r="A46" s="3" t="str">
        <f>"1.33"</f>
        <v>1.33</v>
      </c>
      <c r="B46" s="4" t="str">
        <f>"г. Грязовец, ул. Волкова, д.13"</f>
        <v>г. Грязовец, ул. Волкова, д.13</v>
      </c>
      <c r="C46" s="7" t="str">
        <f>"1967"</f>
        <v>1967</v>
      </c>
      <c r="D46" s="5" t="str">
        <f>"1967"</f>
        <v>1967</v>
      </c>
      <c r="E46" s="5" t="str">
        <f>"52,00"</f>
        <v>52,00</v>
      </c>
      <c r="F46" s="5" t="str">
        <f>"2025"</f>
        <v>2025</v>
      </c>
      <c r="G46" s="5" t="str">
        <f t="shared" si="70"/>
        <v>да</v>
      </c>
      <c r="H46" s="5" t="str">
        <f>""</f>
        <v/>
      </c>
      <c r="I46" s="5" t="str">
        <f>"45,00"</f>
        <v>45,00</v>
      </c>
      <c r="J46" s="5" t="str">
        <f>"2024"</f>
        <v>2024</v>
      </c>
      <c r="K46" s="5" t="str">
        <f t="shared" si="47"/>
        <v>нет</v>
      </c>
      <c r="L46" s="5" t="str">
        <f>""</f>
        <v/>
      </c>
      <c r="M46" s="5" t="str">
        <f>""</f>
        <v/>
      </c>
      <c r="N46" s="5" t="str">
        <f>""</f>
        <v/>
      </c>
      <c r="O46" s="8" t="str">
        <f>"1967"</f>
        <v>1967</v>
      </c>
      <c r="P46" s="5" t="str">
        <f>"57,00"</f>
        <v>57,00</v>
      </c>
      <c r="Q46" s="5" t="str">
        <f>"2021"</f>
        <v>2021</v>
      </c>
      <c r="R46" s="5" t="str">
        <f t="shared" si="49"/>
        <v>нет</v>
      </c>
      <c r="S46" s="5" t="str">
        <f>""</f>
        <v/>
      </c>
      <c r="T46" s="5" t="str">
        <f>""</f>
        <v/>
      </c>
      <c r="U46" s="5" t="str">
        <f>""</f>
        <v/>
      </c>
      <c r="V46" s="5" t="str">
        <f t="shared" si="51"/>
        <v>нет</v>
      </c>
      <c r="W46" s="5" t="str">
        <f>""</f>
        <v/>
      </c>
      <c r="X46" s="5" t="str">
        <f>""</f>
        <v/>
      </c>
      <c r="Y46" s="9" t="str">
        <f>""</f>
        <v/>
      </c>
      <c r="Z46" s="5" t="str">
        <f>"1967"</f>
        <v>1967</v>
      </c>
      <c r="AA46" s="5" t="str">
        <f>"58,00"</f>
        <v>58,00</v>
      </c>
      <c r="AB46" s="5" t="str">
        <f>"2021"</f>
        <v>2021</v>
      </c>
      <c r="AC46" s="5" t="str">
        <f t="shared" si="53"/>
        <v>нет</v>
      </c>
      <c r="AD46" s="5" t="str">
        <f>""</f>
        <v/>
      </c>
      <c r="AE46" s="5" t="str">
        <f>""</f>
        <v/>
      </c>
      <c r="AF46" s="5" t="str">
        <f>""</f>
        <v/>
      </c>
      <c r="AG46" s="5" t="str">
        <f t="shared" si="54"/>
        <v>нет</v>
      </c>
      <c r="AH46" s="5" t="str">
        <f>""</f>
        <v/>
      </c>
      <c r="AI46" s="5" t="str">
        <f>""</f>
        <v/>
      </c>
      <c r="AJ46" s="5" t="str">
        <f>""</f>
        <v/>
      </c>
      <c r="AK46" s="8" t="str">
        <f>"1967"</f>
        <v>1967</v>
      </c>
      <c r="AL46" s="5" t="str">
        <f>"59,00"</f>
        <v>59,00</v>
      </c>
      <c r="AM46" s="5" t="str">
        <f>"2023"</f>
        <v>2023</v>
      </c>
      <c r="AN46" s="5" t="str">
        <f t="shared" si="56"/>
        <v>нет</v>
      </c>
      <c r="AO46" s="5" t="str">
        <f>""</f>
        <v/>
      </c>
      <c r="AP46" s="5" t="str">
        <f>""</f>
        <v/>
      </c>
      <c r="AQ46" s="5" t="str">
        <f>""</f>
        <v/>
      </c>
      <c r="AR46" s="5" t="str">
        <f t="shared" si="57"/>
        <v>нет</v>
      </c>
      <c r="AS46" s="5" t="str">
        <f>""</f>
        <v/>
      </c>
      <c r="AT46" s="5" t="str">
        <f>""</f>
        <v/>
      </c>
      <c r="AU46" s="5" t="str">
        <f>""</f>
        <v/>
      </c>
      <c r="AV46" s="5" t="str">
        <f>"1967"</f>
        <v>1967</v>
      </c>
      <c r="AW46" s="5" t="str">
        <f>"54,00"</f>
        <v>54,00</v>
      </c>
      <c r="AX46" s="5" t="str">
        <f>"2022"</f>
        <v>2022</v>
      </c>
      <c r="AY46" s="5" t="str">
        <f t="shared" si="67"/>
        <v>нет</v>
      </c>
      <c r="AZ46" s="5" t="str">
        <f t="shared" si="71"/>
        <v>х</v>
      </c>
      <c r="BA46" s="5" t="str">
        <f t="shared" si="71"/>
        <v>х</v>
      </c>
      <c r="BB46" s="5" t="str">
        <f t="shared" si="71"/>
        <v>х</v>
      </c>
      <c r="BC46" s="5" t="str">
        <f t="shared" si="68"/>
        <v>нет</v>
      </c>
      <c r="BD46" s="5" t="str">
        <f t="shared" si="72"/>
        <v>х</v>
      </c>
      <c r="BE46" s="5" t="str">
        <f t="shared" si="72"/>
        <v>х</v>
      </c>
      <c r="BF46" s="5" t="str">
        <f t="shared" si="72"/>
        <v>х</v>
      </c>
      <c r="BG46" s="5" t="str">
        <f>"1967"</f>
        <v>1967</v>
      </c>
      <c r="BH46" s="5" t="str">
        <f>"53,00"</f>
        <v>53,00</v>
      </c>
      <c r="BI46" s="5" t="str">
        <f>"2021"</f>
        <v>2021</v>
      </c>
      <c r="BJ46" s="5" t="str">
        <f t="shared" si="62"/>
        <v>нет</v>
      </c>
      <c r="BK46" s="5" t="str">
        <f>""</f>
        <v/>
      </c>
      <c r="BL46" s="5" t="str">
        <f>""</f>
        <v/>
      </c>
      <c r="BM46" s="5" t="str">
        <f>""</f>
        <v/>
      </c>
      <c r="BN46" s="5" t="str">
        <f t="shared" si="63"/>
        <v>нет</v>
      </c>
      <c r="BO46" s="5" t="str">
        <f>""</f>
        <v/>
      </c>
      <c r="BP46" s="5" t="str">
        <f>""</f>
        <v/>
      </c>
      <c r="BQ46" s="5" t="str">
        <f>""</f>
        <v/>
      </c>
      <c r="BR46" s="5" t="str">
        <f>"1967"</f>
        <v>1967</v>
      </c>
      <c r="BS46" s="5" t="str">
        <f>"52,00"</f>
        <v>52,00</v>
      </c>
      <c r="BT46" s="5" t="str">
        <f>"2024"</f>
        <v>2024</v>
      </c>
      <c r="BU46" s="5" t="str">
        <f t="shared" si="10"/>
        <v>нет</v>
      </c>
      <c r="BV46" s="5" t="str">
        <f t="shared" si="64"/>
        <v>x</v>
      </c>
      <c r="BW46" s="5" t="str">
        <f t="shared" si="64"/>
        <v>x</v>
      </c>
      <c r="BX46" s="5" t="str">
        <f t="shared" si="64"/>
        <v>x</v>
      </c>
      <c r="BY46" s="5" t="str">
        <f t="shared" ref="BY46:BY64" si="73">"нет"</f>
        <v>нет</v>
      </c>
      <c r="BZ46" s="5" t="str">
        <f>"1967"</f>
        <v>1967</v>
      </c>
      <c r="CA46" s="5" t="str">
        <f>"51,00"</f>
        <v>51,00</v>
      </c>
      <c r="CB46" s="5" t="str">
        <f>"2020"</f>
        <v>2020</v>
      </c>
      <c r="CC46" s="5" t="str">
        <f>"1967"</f>
        <v>1967</v>
      </c>
      <c r="CD46" s="5" t="str">
        <f>"53,00"</f>
        <v>53,00</v>
      </c>
      <c r="CE46" s="5" t="str">
        <f>"2017"</f>
        <v>2017</v>
      </c>
      <c r="CF46" s="5" t="str">
        <f>"1976"</f>
        <v>1976</v>
      </c>
      <c r="CG46" s="5" t="str">
        <f>"57,00"</f>
        <v>57,00</v>
      </c>
      <c r="CH46" s="5" t="str">
        <f>"2022"</f>
        <v>2022</v>
      </c>
      <c r="CI46" s="5" t="str">
        <f>"57,00"</f>
        <v>57,00</v>
      </c>
      <c r="CJ46" s="5" t="str">
        <f>"2030"</f>
        <v>2030</v>
      </c>
    </row>
    <row r="47" spans="1:88" ht="11.25" customHeight="1">
      <c r="A47" s="3" t="str">
        <f>"1.34"</f>
        <v>1.34</v>
      </c>
      <c r="B47" s="4" t="str">
        <f>"г. Грязовец, ул. Волкова, д.15"</f>
        <v>г. Грязовец, ул. Волкова, д.15</v>
      </c>
      <c r="C47" s="7" t="str">
        <f>"1969"</f>
        <v>1969</v>
      </c>
      <c r="D47" s="5" t="str">
        <f>"1969"</f>
        <v>1969</v>
      </c>
      <c r="E47" s="5" t="str">
        <f>"58,00"</f>
        <v>58,00</v>
      </c>
      <c r="F47" s="5" t="str">
        <f>"2022"</f>
        <v>2022</v>
      </c>
      <c r="G47" s="5" t="str">
        <f t="shared" si="70"/>
        <v>да</v>
      </c>
      <c r="H47" s="5" t="str">
        <f>""</f>
        <v/>
      </c>
      <c r="I47" s="5" t="str">
        <f>"42,00"</f>
        <v>42,00</v>
      </c>
      <c r="J47" s="5" t="str">
        <f>"2022"</f>
        <v>2022</v>
      </c>
      <c r="K47" s="5" t="str">
        <f t="shared" si="47"/>
        <v>нет</v>
      </c>
      <c r="L47" s="5" t="str">
        <f>""</f>
        <v/>
      </c>
      <c r="M47" s="5" t="str">
        <f>""</f>
        <v/>
      </c>
      <c r="N47" s="5" t="str">
        <f>""</f>
        <v/>
      </c>
      <c r="O47" s="8" t="str">
        <f>"1969"</f>
        <v>1969</v>
      </c>
      <c r="P47" s="5" t="str">
        <f>"59,00"</f>
        <v>59,00</v>
      </c>
      <c r="Q47" s="5" t="str">
        <f>"2023"</f>
        <v>2023</v>
      </c>
      <c r="R47" s="5" t="str">
        <f t="shared" si="49"/>
        <v>нет</v>
      </c>
      <c r="S47" s="5" t="str">
        <f>""</f>
        <v/>
      </c>
      <c r="T47" s="5" t="str">
        <f>""</f>
        <v/>
      </c>
      <c r="U47" s="5" t="str">
        <f>""</f>
        <v/>
      </c>
      <c r="V47" s="5" t="str">
        <f t="shared" si="51"/>
        <v>нет</v>
      </c>
      <c r="W47" s="5" t="str">
        <f>""</f>
        <v/>
      </c>
      <c r="X47" s="5" t="str">
        <f>""</f>
        <v/>
      </c>
      <c r="Y47" s="9" t="str">
        <f>""</f>
        <v/>
      </c>
      <c r="Z47" s="5" t="str">
        <f>"1969"</f>
        <v>1969</v>
      </c>
      <c r="AA47" s="5" t="str">
        <f>"59,00"</f>
        <v>59,00</v>
      </c>
      <c r="AB47" s="5" t="str">
        <f>"2024"</f>
        <v>2024</v>
      </c>
      <c r="AC47" s="5" t="str">
        <f t="shared" si="53"/>
        <v>нет</v>
      </c>
      <c r="AD47" s="5" t="str">
        <f>""</f>
        <v/>
      </c>
      <c r="AE47" s="5" t="str">
        <f>""</f>
        <v/>
      </c>
      <c r="AF47" s="5" t="str">
        <f>""</f>
        <v/>
      </c>
      <c r="AG47" s="5" t="str">
        <f t="shared" si="54"/>
        <v>нет</v>
      </c>
      <c r="AH47" s="5" t="str">
        <f>""</f>
        <v/>
      </c>
      <c r="AI47" s="5" t="str">
        <f>""</f>
        <v/>
      </c>
      <c r="AJ47" s="5" t="str">
        <f>""</f>
        <v/>
      </c>
      <c r="AK47" s="8" t="str">
        <f>"1969"</f>
        <v>1969</v>
      </c>
      <c r="AL47" s="5" t="str">
        <f>"60,00"</f>
        <v>60,00</v>
      </c>
      <c r="AM47" s="5" t="str">
        <f>"2021"</f>
        <v>2021</v>
      </c>
      <c r="AN47" s="5" t="str">
        <f t="shared" si="56"/>
        <v>нет</v>
      </c>
      <c r="AO47" s="5" t="str">
        <f>""</f>
        <v/>
      </c>
      <c r="AP47" s="5" t="str">
        <f>""</f>
        <v/>
      </c>
      <c r="AQ47" s="5" t="str">
        <f>""</f>
        <v/>
      </c>
      <c r="AR47" s="5" t="str">
        <f t="shared" si="57"/>
        <v>нет</v>
      </c>
      <c r="AS47" s="5" t="str">
        <f>""</f>
        <v/>
      </c>
      <c r="AT47" s="5" t="str">
        <f>""</f>
        <v/>
      </c>
      <c r="AU47" s="5" t="str">
        <f>""</f>
        <v/>
      </c>
      <c r="AV47" s="5" t="str">
        <f>"х"</f>
        <v>х</v>
      </c>
      <c r="AW47" s="5" t="str">
        <f>"х"</f>
        <v>х</v>
      </c>
      <c r="AX47" s="5" t="str">
        <f>"х"</f>
        <v>х</v>
      </c>
      <c r="AY47" s="5" t="str">
        <f>"х"</f>
        <v>х</v>
      </c>
      <c r="AZ47" s="5" t="str">
        <f t="shared" si="71"/>
        <v>х</v>
      </c>
      <c r="BA47" s="5" t="str">
        <f t="shared" si="71"/>
        <v>х</v>
      </c>
      <c r="BB47" s="5" t="str">
        <f t="shared" si="71"/>
        <v>х</v>
      </c>
      <c r="BC47" s="5" t="str">
        <f>"х"</f>
        <v>х</v>
      </c>
      <c r="BD47" s="5" t="str">
        <f t="shared" si="72"/>
        <v>х</v>
      </c>
      <c r="BE47" s="5" t="str">
        <f t="shared" si="72"/>
        <v>х</v>
      </c>
      <c r="BF47" s="5" t="str">
        <f t="shared" si="72"/>
        <v>х</v>
      </c>
      <c r="BG47" s="5" t="str">
        <f>"1969"</f>
        <v>1969</v>
      </c>
      <c r="BH47" s="5" t="str">
        <f>"60,00"</f>
        <v>60,00</v>
      </c>
      <c r="BI47" s="5" t="str">
        <f>"2023"</f>
        <v>2023</v>
      </c>
      <c r="BJ47" s="5" t="str">
        <f t="shared" si="62"/>
        <v>нет</v>
      </c>
      <c r="BK47" s="5" t="str">
        <f>""</f>
        <v/>
      </c>
      <c r="BL47" s="5" t="str">
        <f>""</f>
        <v/>
      </c>
      <c r="BM47" s="5" t="str">
        <f>""</f>
        <v/>
      </c>
      <c r="BN47" s="5" t="str">
        <f t="shared" si="63"/>
        <v>нет</v>
      </c>
      <c r="BO47" s="5" t="str">
        <f>""</f>
        <v/>
      </c>
      <c r="BP47" s="5" t="str">
        <f>""</f>
        <v/>
      </c>
      <c r="BQ47" s="5" t="str">
        <f>""</f>
        <v/>
      </c>
      <c r="BR47" s="5" t="str">
        <f>"1969"</f>
        <v>1969</v>
      </c>
      <c r="BS47" s="5" t="str">
        <f>"65,00"</f>
        <v>65,00</v>
      </c>
      <c r="BT47" s="5" t="str">
        <f>"2021"</f>
        <v>2021</v>
      </c>
      <c r="BU47" s="5" t="str">
        <f t="shared" si="10"/>
        <v>нет</v>
      </c>
      <c r="BV47" s="5" t="str">
        <f t="shared" si="64"/>
        <v>x</v>
      </c>
      <c r="BW47" s="5" t="str">
        <f t="shared" si="64"/>
        <v>x</v>
      </c>
      <c r="BX47" s="5" t="str">
        <f t="shared" si="64"/>
        <v>x</v>
      </c>
      <c r="BY47" s="5" t="str">
        <f t="shared" si="73"/>
        <v>нет</v>
      </c>
      <c r="BZ47" s="5" t="str">
        <f>"x"</f>
        <v>x</v>
      </c>
      <c r="CA47" s="5" t="str">
        <f>"x"</f>
        <v>x</v>
      </c>
      <c r="CB47" s="5" t="str">
        <f>"x"</f>
        <v>x</v>
      </c>
      <c r="CC47" s="5" t="str">
        <f>"1969"</f>
        <v>1969</v>
      </c>
      <c r="CD47" s="5" t="str">
        <f>"65,00"</f>
        <v>65,00</v>
      </c>
      <c r="CE47" s="5" t="str">
        <f>"2020"</f>
        <v>2020</v>
      </c>
      <c r="CF47" s="5" t="str">
        <f>"1969"</f>
        <v>1969</v>
      </c>
      <c r="CG47" s="5" t="str">
        <f>"66,00"</f>
        <v>66,00</v>
      </c>
      <c r="CH47" s="5" t="str">
        <f>"2020"</f>
        <v>2020</v>
      </c>
      <c r="CI47" s="5" t="str">
        <f>"58,00"</f>
        <v>58,00</v>
      </c>
      <c r="CJ47" s="5" t="str">
        <f>"2044"</f>
        <v>2044</v>
      </c>
    </row>
    <row r="48" spans="1:88" ht="11.25" customHeight="1">
      <c r="A48" s="3" t="str">
        <f>"1.35"</f>
        <v>1.35</v>
      </c>
      <c r="B48" s="4" t="str">
        <f>"г. Грязовец, ул. Волкова, д.18"</f>
        <v>г. Грязовец, ул. Волкова, д.18</v>
      </c>
      <c r="C48" s="7" t="str">
        <f>"1996"</f>
        <v>1996</v>
      </c>
      <c r="D48" s="5" t="str">
        <f>"1996"</f>
        <v>1996</v>
      </c>
      <c r="E48" s="5" t="str">
        <f>"25,00"</f>
        <v>25,00</v>
      </c>
      <c r="F48" s="5" t="str">
        <f>"2029"</f>
        <v>2029</v>
      </c>
      <c r="G48" s="5" t="str">
        <f t="shared" si="70"/>
        <v>да</v>
      </c>
      <c r="H48" s="5" t="str">
        <f>""</f>
        <v/>
      </c>
      <c r="I48" s="5" t="str">
        <f>"15,00"</f>
        <v>15,00</v>
      </c>
      <c r="J48" s="5" t="str">
        <f>"2029"</f>
        <v>2029</v>
      </c>
      <c r="K48" s="5" t="str">
        <f t="shared" si="47"/>
        <v>нет</v>
      </c>
      <c r="L48" s="5" t="str">
        <f>""</f>
        <v/>
      </c>
      <c r="M48" s="5" t="str">
        <f>""</f>
        <v/>
      </c>
      <c r="N48" s="5" t="str">
        <f>""</f>
        <v/>
      </c>
      <c r="O48" s="8" t="str">
        <f>"1996"</f>
        <v>1996</v>
      </c>
      <c r="P48" s="5" t="str">
        <f>"26,00"</f>
        <v>26,00</v>
      </c>
      <c r="Q48" s="5" t="str">
        <f>"2028"</f>
        <v>2028</v>
      </c>
      <c r="R48" s="5" t="str">
        <f t="shared" si="49"/>
        <v>нет</v>
      </c>
      <c r="S48" s="5" t="str">
        <f>""</f>
        <v/>
      </c>
      <c r="T48" s="5" t="str">
        <f>""</f>
        <v/>
      </c>
      <c r="U48" s="5" t="str">
        <f>""</f>
        <v/>
      </c>
      <c r="V48" s="5" t="str">
        <f t="shared" si="51"/>
        <v>нет</v>
      </c>
      <c r="W48" s="5" t="str">
        <f>""</f>
        <v/>
      </c>
      <c r="X48" s="5" t="str">
        <f>""</f>
        <v/>
      </c>
      <c r="Y48" s="9" t="str">
        <f>""</f>
        <v/>
      </c>
      <c r="Z48" s="5" t="str">
        <f>"1996"</f>
        <v>1996</v>
      </c>
      <c r="AA48" s="5" t="str">
        <f>"28,00"</f>
        <v>28,00</v>
      </c>
      <c r="AB48" s="5" t="str">
        <f>"2027"</f>
        <v>2027</v>
      </c>
      <c r="AC48" s="5" t="str">
        <f t="shared" si="53"/>
        <v>нет</v>
      </c>
      <c r="AD48" s="5" t="str">
        <f>""</f>
        <v/>
      </c>
      <c r="AE48" s="5" t="str">
        <f>""</f>
        <v/>
      </c>
      <c r="AF48" s="5" t="str">
        <f>""</f>
        <v/>
      </c>
      <c r="AG48" s="5" t="str">
        <f t="shared" si="54"/>
        <v>нет</v>
      </c>
      <c r="AH48" s="5" t="str">
        <f>""</f>
        <v/>
      </c>
      <c r="AI48" s="5" t="str">
        <f>""</f>
        <v/>
      </c>
      <c r="AJ48" s="5" t="str">
        <f>""</f>
        <v/>
      </c>
      <c r="AK48" s="8" t="str">
        <f>"1996"</f>
        <v>1996</v>
      </c>
      <c r="AL48" s="5" t="str">
        <f>"30,00"</f>
        <v>30,00</v>
      </c>
      <c r="AM48" s="5" t="str">
        <f>"2028"</f>
        <v>2028</v>
      </c>
      <c r="AN48" s="5" t="str">
        <f t="shared" si="56"/>
        <v>нет</v>
      </c>
      <c r="AO48" s="5" t="str">
        <f>""</f>
        <v/>
      </c>
      <c r="AP48" s="5" t="str">
        <f>""</f>
        <v/>
      </c>
      <c r="AQ48" s="5" t="str">
        <f>""</f>
        <v/>
      </c>
      <c r="AR48" s="5" t="str">
        <f t="shared" si="57"/>
        <v>нет</v>
      </c>
      <c r="AS48" s="5" t="str">
        <f>""</f>
        <v/>
      </c>
      <c r="AT48" s="5" t="str">
        <f>""</f>
        <v/>
      </c>
      <c r="AU48" s="5" t="str">
        <f>""</f>
        <v/>
      </c>
      <c r="AV48" s="5" t="str">
        <f t="shared" ref="AV48:AX52" si="74">"х"</f>
        <v>х</v>
      </c>
      <c r="AW48" s="5" t="str">
        <f t="shared" si="74"/>
        <v>х</v>
      </c>
      <c r="AX48" s="5" t="str">
        <f t="shared" si="74"/>
        <v>х</v>
      </c>
      <c r="AY48" s="5" t="str">
        <f>"нет"</f>
        <v>нет</v>
      </c>
      <c r="AZ48" s="5" t="str">
        <f t="shared" si="71"/>
        <v>х</v>
      </c>
      <c r="BA48" s="5" t="str">
        <f t="shared" si="71"/>
        <v>х</v>
      </c>
      <c r="BB48" s="5" t="str">
        <f t="shared" si="71"/>
        <v>х</v>
      </c>
      <c r="BC48" s="5" t="str">
        <f>"нет"</f>
        <v>нет</v>
      </c>
      <c r="BD48" s="5" t="str">
        <f t="shared" si="72"/>
        <v>х</v>
      </c>
      <c r="BE48" s="5" t="str">
        <f t="shared" si="72"/>
        <v>х</v>
      </c>
      <c r="BF48" s="5" t="str">
        <f t="shared" si="72"/>
        <v>х</v>
      </c>
      <c r="BG48" s="5" t="str">
        <f>"1996"</f>
        <v>1996</v>
      </c>
      <c r="BH48" s="5" t="str">
        <f>"30,00"</f>
        <v>30,00</v>
      </c>
      <c r="BI48" s="5" t="str">
        <f>"2028"</f>
        <v>2028</v>
      </c>
      <c r="BJ48" s="5" t="str">
        <f t="shared" si="62"/>
        <v>нет</v>
      </c>
      <c r="BK48" s="5" t="str">
        <f>""</f>
        <v/>
      </c>
      <c r="BL48" s="5" t="str">
        <f>""</f>
        <v/>
      </c>
      <c r="BM48" s="5" t="str">
        <f>""</f>
        <v/>
      </c>
      <c r="BN48" s="5" t="str">
        <f t="shared" si="63"/>
        <v>нет</v>
      </c>
      <c r="BO48" s="5" t="str">
        <f>""</f>
        <v/>
      </c>
      <c r="BP48" s="5" t="str">
        <f>""</f>
        <v/>
      </c>
      <c r="BQ48" s="5" t="str">
        <f>""</f>
        <v/>
      </c>
      <c r="BR48" s="5" t="str">
        <f>"1996"</f>
        <v>1996</v>
      </c>
      <c r="BS48" s="5" t="str">
        <f>"29,00"</f>
        <v>29,00</v>
      </c>
      <c r="BT48" s="5" t="str">
        <f>"2027"</f>
        <v>2027</v>
      </c>
      <c r="BU48" s="5" t="str">
        <f t="shared" si="10"/>
        <v>нет</v>
      </c>
      <c r="BV48" s="5" t="str">
        <f t="shared" si="64"/>
        <v>x</v>
      </c>
      <c r="BW48" s="5" t="str">
        <f t="shared" si="64"/>
        <v>x</v>
      </c>
      <c r="BX48" s="5" t="str">
        <f t="shared" si="64"/>
        <v>x</v>
      </c>
      <c r="BY48" s="5" t="str">
        <f t="shared" si="73"/>
        <v>нет</v>
      </c>
      <c r="BZ48" s="5" t="str">
        <f>"1996"</f>
        <v>1996</v>
      </c>
      <c r="CA48" s="5" t="str">
        <f>"30,00"</f>
        <v>30,00</v>
      </c>
      <c r="CB48" s="5" t="str">
        <f>"2029"</f>
        <v>2029</v>
      </c>
      <c r="CC48" s="5" t="str">
        <f>"1996"</f>
        <v>1996</v>
      </c>
      <c r="CD48" s="5" t="str">
        <f>"18,00"</f>
        <v>18,00</v>
      </c>
      <c r="CE48" s="5" t="str">
        <f>"2028"</f>
        <v>2028</v>
      </c>
      <c r="CF48" s="5" t="str">
        <f>"1996"</f>
        <v>1996</v>
      </c>
      <c r="CG48" s="5" t="str">
        <f>"31,00"</f>
        <v>31,00</v>
      </c>
      <c r="CH48" s="5" t="str">
        <f>"2026"</f>
        <v>2026</v>
      </c>
      <c r="CI48" s="5" t="str">
        <f>"25,00"</f>
        <v>25,00</v>
      </c>
      <c r="CJ48" s="5" t="str">
        <f>"2042"</f>
        <v>2042</v>
      </c>
    </row>
    <row r="49" spans="1:88" ht="11.25" customHeight="1">
      <c r="A49" s="3" t="str">
        <f>"1.36"</f>
        <v>1.36</v>
      </c>
      <c r="B49" s="4" t="str">
        <f>"г. Грязовец, ул. Волкова, д.19"</f>
        <v>г. Грязовец, ул. Волкова, д.19</v>
      </c>
      <c r="C49" s="7" t="str">
        <f>"1982"</f>
        <v>1982</v>
      </c>
      <c r="D49" s="5" t="str">
        <f>"1982"</f>
        <v>1982</v>
      </c>
      <c r="E49" s="5" t="str">
        <f>"31,00"</f>
        <v>31,00</v>
      </c>
      <c r="F49" s="5" t="str">
        <f>"2024"</f>
        <v>2024</v>
      </c>
      <c r="G49" s="5" t="str">
        <f t="shared" si="70"/>
        <v>да</v>
      </c>
      <c r="H49" s="5" t="str">
        <f>""</f>
        <v/>
      </c>
      <c r="I49" s="5" t="str">
        <f>"25,00"</f>
        <v>25,00</v>
      </c>
      <c r="J49" s="5" t="str">
        <f>"2024"</f>
        <v>2024</v>
      </c>
      <c r="K49" s="5" t="str">
        <f t="shared" si="47"/>
        <v>нет</v>
      </c>
      <c r="L49" s="5" t="str">
        <f>""</f>
        <v/>
      </c>
      <c r="M49" s="5" t="str">
        <f>""</f>
        <v/>
      </c>
      <c r="N49" s="5" t="str">
        <f>""</f>
        <v/>
      </c>
      <c r="O49" s="8" t="str">
        <f>"1982"</f>
        <v>1982</v>
      </c>
      <c r="P49" s="5" t="str">
        <f>"32,00"</f>
        <v>32,00</v>
      </c>
      <c r="Q49" s="5" t="str">
        <f>"2023"</f>
        <v>2023</v>
      </c>
      <c r="R49" s="5" t="str">
        <f t="shared" si="49"/>
        <v>нет</v>
      </c>
      <c r="S49" s="5" t="str">
        <f>""</f>
        <v/>
      </c>
      <c r="T49" s="5" t="str">
        <f>""</f>
        <v/>
      </c>
      <c r="U49" s="5" t="str">
        <f>""</f>
        <v/>
      </c>
      <c r="V49" s="5" t="str">
        <f t="shared" si="51"/>
        <v>нет</v>
      </c>
      <c r="W49" s="5" t="str">
        <f>""</f>
        <v/>
      </c>
      <c r="X49" s="5" t="str">
        <f>""</f>
        <v/>
      </c>
      <c r="Y49" s="9" t="str">
        <f>""</f>
        <v/>
      </c>
      <c r="Z49" s="5" t="str">
        <f>"1982"</f>
        <v>1982</v>
      </c>
      <c r="AA49" s="5" t="str">
        <f>"33,00"</f>
        <v>33,00</v>
      </c>
      <c r="AB49" s="5" t="str">
        <f>"2025"</f>
        <v>2025</v>
      </c>
      <c r="AC49" s="5" t="str">
        <f t="shared" si="53"/>
        <v>нет</v>
      </c>
      <c r="AD49" s="5" t="str">
        <f>""</f>
        <v/>
      </c>
      <c r="AE49" s="5" t="str">
        <f>""</f>
        <v/>
      </c>
      <c r="AF49" s="5" t="str">
        <f>""</f>
        <v/>
      </c>
      <c r="AG49" s="5" t="str">
        <f t="shared" si="54"/>
        <v>нет</v>
      </c>
      <c r="AH49" s="5" t="str">
        <f>""</f>
        <v/>
      </c>
      <c r="AI49" s="5" t="str">
        <f>""</f>
        <v/>
      </c>
      <c r="AJ49" s="5" t="str">
        <f>""</f>
        <v/>
      </c>
      <c r="AK49" s="8" t="str">
        <f>"1982"</f>
        <v>1982</v>
      </c>
      <c r="AL49" s="5" t="str">
        <f>"34,00"</f>
        <v>34,00</v>
      </c>
      <c r="AM49" s="5" t="str">
        <f>"2023"</f>
        <v>2023</v>
      </c>
      <c r="AN49" s="5" t="str">
        <f t="shared" si="56"/>
        <v>нет</v>
      </c>
      <c r="AO49" s="5" t="str">
        <f>""</f>
        <v/>
      </c>
      <c r="AP49" s="5" t="str">
        <f>""</f>
        <v/>
      </c>
      <c r="AQ49" s="5" t="str">
        <f>""</f>
        <v/>
      </c>
      <c r="AR49" s="5" t="str">
        <f t="shared" si="57"/>
        <v>нет</v>
      </c>
      <c r="AS49" s="5" t="str">
        <f>""</f>
        <v/>
      </c>
      <c r="AT49" s="5" t="str">
        <f>""</f>
        <v/>
      </c>
      <c r="AU49" s="5" t="str">
        <f>""</f>
        <v/>
      </c>
      <c r="AV49" s="5" t="str">
        <f t="shared" si="74"/>
        <v>х</v>
      </c>
      <c r="AW49" s="5" t="str">
        <f t="shared" si="74"/>
        <v>х</v>
      </c>
      <c r="AX49" s="5" t="str">
        <f t="shared" si="74"/>
        <v>х</v>
      </c>
      <c r="AY49" s="5" t="str">
        <f>"х"</f>
        <v>х</v>
      </c>
      <c r="AZ49" s="5" t="str">
        <f t="shared" si="71"/>
        <v>х</v>
      </c>
      <c r="BA49" s="5" t="str">
        <f t="shared" si="71"/>
        <v>х</v>
      </c>
      <c r="BB49" s="5" t="str">
        <f t="shared" si="71"/>
        <v>х</v>
      </c>
      <c r="BC49" s="5" t="str">
        <f>"х"</f>
        <v>х</v>
      </c>
      <c r="BD49" s="5" t="str">
        <f t="shared" si="72"/>
        <v>х</v>
      </c>
      <c r="BE49" s="5" t="str">
        <f t="shared" si="72"/>
        <v>х</v>
      </c>
      <c r="BF49" s="5" t="str">
        <f t="shared" si="72"/>
        <v>х</v>
      </c>
      <c r="BG49" s="5" t="str">
        <f>"1982"</f>
        <v>1982</v>
      </c>
      <c r="BH49" s="5" t="str">
        <f>"36,00"</f>
        <v>36,00</v>
      </c>
      <c r="BI49" s="5" t="str">
        <f>"2026"</f>
        <v>2026</v>
      </c>
      <c r="BJ49" s="5" t="str">
        <f t="shared" si="62"/>
        <v>нет</v>
      </c>
      <c r="BK49" s="5" t="str">
        <f>""</f>
        <v/>
      </c>
      <c r="BL49" s="5" t="str">
        <f>""</f>
        <v/>
      </c>
      <c r="BM49" s="5" t="str">
        <f>""</f>
        <v/>
      </c>
      <c r="BN49" s="5" t="str">
        <f t="shared" si="63"/>
        <v>нет</v>
      </c>
      <c r="BO49" s="5" t="str">
        <f>""</f>
        <v/>
      </c>
      <c r="BP49" s="5" t="str">
        <f>""</f>
        <v/>
      </c>
      <c r="BQ49" s="5" t="str">
        <f>""</f>
        <v/>
      </c>
      <c r="BR49" s="5" t="str">
        <f>"1982"</f>
        <v>1982</v>
      </c>
      <c r="BS49" s="5" t="str">
        <f>"37,00"</f>
        <v>37,00</v>
      </c>
      <c r="BT49" s="5" t="str">
        <f>"2023"</f>
        <v>2023</v>
      </c>
      <c r="BU49" s="5" t="str">
        <f t="shared" si="10"/>
        <v>нет</v>
      </c>
      <c r="BV49" s="5" t="str">
        <f t="shared" si="64"/>
        <v>x</v>
      </c>
      <c r="BW49" s="5" t="str">
        <f t="shared" si="64"/>
        <v>x</v>
      </c>
      <c r="BX49" s="5" t="str">
        <f t="shared" si="64"/>
        <v>x</v>
      </c>
      <c r="BY49" s="5" t="str">
        <f t="shared" si="73"/>
        <v>нет</v>
      </c>
      <c r="BZ49" s="5" t="str">
        <f>"1982"</f>
        <v>1982</v>
      </c>
      <c r="CA49" s="5" t="str">
        <f>"37,00"</f>
        <v>37,00</v>
      </c>
      <c r="CB49" s="5" t="str">
        <f>"2024"</f>
        <v>2024</v>
      </c>
      <c r="CC49" s="5" t="str">
        <f>"1982"</f>
        <v>1982</v>
      </c>
      <c r="CD49" s="5" t="str">
        <f>"25,00"</f>
        <v>25,00</v>
      </c>
      <c r="CE49" s="5" t="str">
        <f>"2028"</f>
        <v>2028</v>
      </c>
      <c r="CF49" s="5" t="str">
        <f>"1982"</f>
        <v>1982</v>
      </c>
      <c r="CG49" s="5" t="str">
        <f>"31,00"</f>
        <v>31,00</v>
      </c>
      <c r="CH49" s="5" t="str">
        <f>"2027"</f>
        <v>2027</v>
      </c>
      <c r="CI49" s="5" t="str">
        <f>"31,00"</f>
        <v>31,00</v>
      </c>
      <c r="CJ49" s="5" t="str">
        <f>"2042"</f>
        <v>2042</v>
      </c>
    </row>
    <row r="50" spans="1:88" ht="11.25" customHeight="1">
      <c r="A50" s="3" t="str">
        <f>"1.37"</f>
        <v>1.37</v>
      </c>
      <c r="B50" s="4" t="str">
        <f>"г. Грязовец, ул. Волкова, д.20"</f>
        <v>г. Грязовец, ул. Волкова, д.20</v>
      </c>
      <c r="C50" s="7" t="str">
        <f>"1988"</f>
        <v>1988</v>
      </c>
      <c r="D50" s="5" t="str">
        <f>"1988"</f>
        <v>1988</v>
      </c>
      <c r="E50" s="5" t="str">
        <f>"58,00"</f>
        <v>58,00</v>
      </c>
      <c r="F50" s="5" t="str">
        <f>"2021"</f>
        <v>2021</v>
      </c>
      <c r="G50" s="5" t="str">
        <f t="shared" si="70"/>
        <v>да</v>
      </c>
      <c r="H50" s="5" t="str">
        <f>""</f>
        <v/>
      </c>
      <c r="I50" s="5" t="str">
        <f>"40,00"</f>
        <v>40,00</v>
      </c>
      <c r="J50" s="5" t="str">
        <f>"2021"</f>
        <v>2021</v>
      </c>
      <c r="K50" s="5" t="str">
        <f>"да"</f>
        <v>да</v>
      </c>
      <c r="L50" s="5" t="str">
        <f>""</f>
        <v/>
      </c>
      <c r="M50" s="5" t="str">
        <f>"38,00"</f>
        <v>38,00</v>
      </c>
      <c r="N50" s="5" t="str">
        <f>"2021"</f>
        <v>2021</v>
      </c>
      <c r="O50" s="8" t="str">
        <f>"х"</f>
        <v>х</v>
      </c>
      <c r="P50" s="5" t="str">
        <f>"х"</f>
        <v>х</v>
      </c>
      <c r="Q50" s="5" t="str">
        <f>"х"</f>
        <v>х</v>
      </c>
      <c r="R50" s="5" t="str">
        <f t="shared" si="49"/>
        <v>нет</v>
      </c>
      <c r="S50" s="5" t="str">
        <f>"х"</f>
        <v>х</v>
      </c>
      <c r="T50" s="5" t="str">
        <f>"х"</f>
        <v>х</v>
      </c>
      <c r="U50" s="5" t="str">
        <f>"х"</f>
        <v>х</v>
      </c>
      <c r="V50" s="5" t="str">
        <f t="shared" si="51"/>
        <v>нет</v>
      </c>
      <c r="W50" s="5" t="str">
        <f>"х"</f>
        <v>х</v>
      </c>
      <c r="X50" s="5" t="str">
        <f>"х"</f>
        <v>х</v>
      </c>
      <c r="Y50" s="9" t="str">
        <f>"х"</f>
        <v>х</v>
      </c>
      <c r="Z50" s="5" t="str">
        <f>"1988"</f>
        <v>1988</v>
      </c>
      <c r="AA50" s="5" t="str">
        <f>"52,00"</f>
        <v>52,00</v>
      </c>
      <c r="AB50" s="5" t="str">
        <f>"2022"</f>
        <v>2022</v>
      </c>
      <c r="AC50" s="5" t="str">
        <f>"да"</f>
        <v>да</v>
      </c>
      <c r="AD50" s="5" t="str">
        <f>""</f>
        <v/>
      </c>
      <c r="AE50" s="5" t="str">
        <f>"35,00"</f>
        <v>35,00</v>
      </c>
      <c r="AF50" s="5" t="str">
        <f>"2022"</f>
        <v>2022</v>
      </c>
      <c r="AG50" s="5" t="str">
        <f>"да"</f>
        <v>да</v>
      </c>
      <c r="AH50" s="5" t="str">
        <f>""</f>
        <v/>
      </c>
      <c r="AI50" s="5" t="str">
        <f>"35,00"</f>
        <v>35,00</v>
      </c>
      <c r="AJ50" s="5" t="str">
        <f>"2022"</f>
        <v>2022</v>
      </c>
      <c r="AK50" s="8" t="str">
        <f>"х"</f>
        <v>х</v>
      </c>
      <c r="AL50" s="5" t="str">
        <f>"х"</f>
        <v>х</v>
      </c>
      <c r="AM50" s="5" t="str">
        <f>"х"</f>
        <v>х</v>
      </c>
      <c r="AN50" s="5" t="str">
        <f t="shared" si="56"/>
        <v>нет</v>
      </c>
      <c r="AO50" s="5" t="str">
        <f>"х"</f>
        <v>х</v>
      </c>
      <c r="AP50" s="5" t="str">
        <f>"х"</f>
        <v>х</v>
      </c>
      <c r="AQ50" s="5" t="str">
        <f>"х"</f>
        <v>х</v>
      </c>
      <c r="AR50" s="5" t="str">
        <f t="shared" si="57"/>
        <v>нет</v>
      </c>
      <c r="AS50" s="5" t="str">
        <f>"х"</f>
        <v>х</v>
      </c>
      <c r="AT50" s="5" t="str">
        <f>"х"</f>
        <v>х</v>
      </c>
      <c r="AU50" s="5" t="str">
        <f>"х"</f>
        <v>х</v>
      </c>
      <c r="AV50" s="5" t="str">
        <f t="shared" si="74"/>
        <v>х</v>
      </c>
      <c r="AW50" s="5" t="str">
        <f t="shared" si="74"/>
        <v>х</v>
      </c>
      <c r="AX50" s="5" t="str">
        <f t="shared" si="74"/>
        <v>х</v>
      </c>
      <c r="AY50" s="5" t="str">
        <f>"нет"</f>
        <v>нет</v>
      </c>
      <c r="AZ50" s="5" t="str">
        <f t="shared" si="71"/>
        <v>х</v>
      </c>
      <c r="BA50" s="5" t="str">
        <f t="shared" si="71"/>
        <v>х</v>
      </c>
      <c r="BB50" s="5" t="str">
        <f t="shared" si="71"/>
        <v>х</v>
      </c>
      <c r="BC50" s="5" t="str">
        <f>"нет"</f>
        <v>нет</v>
      </c>
      <c r="BD50" s="5" t="str">
        <f t="shared" si="72"/>
        <v>х</v>
      </c>
      <c r="BE50" s="5" t="str">
        <f t="shared" si="72"/>
        <v>х</v>
      </c>
      <c r="BF50" s="5" t="str">
        <f t="shared" si="72"/>
        <v>х</v>
      </c>
      <c r="BG50" s="5" t="str">
        <f>"х"</f>
        <v>х</v>
      </c>
      <c r="BH50" s="5" t="str">
        <f>"х"</f>
        <v>х</v>
      </c>
      <c r="BI50" s="5" t="str">
        <f>"х"</f>
        <v>х</v>
      </c>
      <c r="BJ50" s="5" t="str">
        <f t="shared" si="62"/>
        <v>нет</v>
      </c>
      <c r="BK50" s="5" t="str">
        <f>"х"</f>
        <v>х</v>
      </c>
      <c r="BL50" s="5" t="str">
        <f>"х"</f>
        <v>х</v>
      </c>
      <c r="BM50" s="5" t="str">
        <f>"х"</f>
        <v>х</v>
      </c>
      <c r="BN50" s="5" t="str">
        <f t="shared" si="63"/>
        <v>нет</v>
      </c>
      <c r="BO50" s="5" t="str">
        <f>"х"</f>
        <v>х</v>
      </c>
      <c r="BP50" s="5" t="str">
        <f>"х"</f>
        <v>х</v>
      </c>
      <c r="BQ50" s="5" t="str">
        <f>"х"</f>
        <v>х</v>
      </c>
      <c r="BR50" s="5" t="str">
        <f>"1988"</f>
        <v>1988</v>
      </c>
      <c r="BS50" s="5" t="str">
        <f>"56,00"</f>
        <v>56,00</v>
      </c>
      <c r="BT50" s="5" t="str">
        <f>"2022"</f>
        <v>2022</v>
      </c>
      <c r="BU50" s="5" t="str">
        <f t="shared" si="10"/>
        <v>нет</v>
      </c>
      <c r="BV50" s="5" t="str">
        <f t="shared" si="64"/>
        <v>x</v>
      </c>
      <c r="BW50" s="5" t="str">
        <f t="shared" si="64"/>
        <v>x</v>
      </c>
      <c r="BX50" s="5" t="str">
        <f t="shared" si="64"/>
        <v>x</v>
      </c>
      <c r="BY50" s="5" t="str">
        <f t="shared" si="73"/>
        <v>нет</v>
      </c>
      <c r="BZ50" s="5" t="str">
        <f>"1988"</f>
        <v>1988</v>
      </c>
      <c r="CA50" s="5" t="str">
        <f>"56,00"</f>
        <v>56,00</v>
      </c>
      <c r="CB50" s="5" t="str">
        <f>"2026"</f>
        <v>2026</v>
      </c>
      <c r="CC50" s="5" t="str">
        <f>"1988"</f>
        <v>1988</v>
      </c>
      <c r="CD50" s="5" t="str">
        <f>"42,00"</f>
        <v>42,00</v>
      </c>
      <c r="CE50" s="5" t="str">
        <f>"2029"</f>
        <v>2029</v>
      </c>
      <c r="CF50" s="5" t="str">
        <f>"1988"</f>
        <v>1988</v>
      </c>
      <c r="CG50" s="5" t="str">
        <f>"50,00"</f>
        <v>50,00</v>
      </c>
      <c r="CH50" s="5" t="str">
        <f>"2024"</f>
        <v>2024</v>
      </c>
      <c r="CI50" s="5" t="str">
        <f>"58,00"</f>
        <v>58,00</v>
      </c>
      <c r="CJ50" s="5" t="str">
        <f>"2040"</f>
        <v>2040</v>
      </c>
    </row>
    <row r="51" spans="1:88" ht="11.25" customHeight="1">
      <c r="A51" s="3" t="str">
        <f>"1.38"</f>
        <v>1.38</v>
      </c>
      <c r="B51" s="4" t="str">
        <f>"г. Грязовец, ул. Волкова, д.21"</f>
        <v>г. Грязовец, ул. Волкова, д.21</v>
      </c>
      <c r="C51" s="7" t="str">
        <f>"1979"</f>
        <v>1979</v>
      </c>
      <c r="D51" s="5" t="str">
        <f>"1979"</f>
        <v>1979</v>
      </c>
      <c r="E51" s="5" t="str">
        <f>"38,00"</f>
        <v>38,00</v>
      </c>
      <c r="F51" s="5" t="str">
        <f>"2025"</f>
        <v>2025</v>
      </c>
      <c r="G51" s="5" t="str">
        <f t="shared" si="70"/>
        <v>да</v>
      </c>
      <c r="H51" s="5" t="str">
        <f>""</f>
        <v/>
      </c>
      <c r="I51" s="5" t="str">
        <f>"35,00"</f>
        <v>35,00</v>
      </c>
      <c r="J51" s="5" t="str">
        <f>"2025"</f>
        <v>2025</v>
      </c>
      <c r="K51" s="5" t="str">
        <f>"нет"</f>
        <v>нет</v>
      </c>
      <c r="L51" s="5" t="str">
        <f>""</f>
        <v/>
      </c>
      <c r="M51" s="5" t="str">
        <f>""</f>
        <v/>
      </c>
      <c r="N51" s="5" t="str">
        <f>""</f>
        <v/>
      </c>
      <c r="O51" s="8" t="str">
        <f>""</f>
        <v/>
      </c>
      <c r="P51" s="5" t="str">
        <f>"35,00"</f>
        <v>35,00</v>
      </c>
      <c r="Q51" s="5" t="str">
        <f>"2026"</f>
        <v>2026</v>
      </c>
      <c r="R51" s="5" t="str">
        <f t="shared" si="49"/>
        <v>нет</v>
      </c>
      <c r="S51" s="5" t="str">
        <f>""</f>
        <v/>
      </c>
      <c r="T51" s="5" t="str">
        <f>""</f>
        <v/>
      </c>
      <c r="U51" s="5" t="str">
        <f>""</f>
        <v/>
      </c>
      <c r="V51" s="5" t="str">
        <f t="shared" si="51"/>
        <v>нет</v>
      </c>
      <c r="W51" s="5" t="str">
        <f>""</f>
        <v/>
      </c>
      <c r="X51" s="5" t="str">
        <f>""</f>
        <v/>
      </c>
      <c r="Y51" s="9" t="str">
        <f>""</f>
        <v/>
      </c>
      <c r="Z51" s="5" t="str">
        <f>"1979"</f>
        <v>1979</v>
      </c>
      <c r="AA51" s="5" t="str">
        <f>"36,00"</f>
        <v>36,00</v>
      </c>
      <c r="AB51" s="5" t="str">
        <f>"2023"</f>
        <v>2023</v>
      </c>
      <c r="AC51" s="5" t="str">
        <f>"нет"</f>
        <v>нет</v>
      </c>
      <c r="AD51" s="5" t="str">
        <f>""</f>
        <v/>
      </c>
      <c r="AE51" s="5" t="str">
        <f>""</f>
        <v/>
      </c>
      <c r="AF51" s="5" t="str">
        <f>""</f>
        <v/>
      </c>
      <c r="AG51" s="5" t="str">
        <f>"нет"</f>
        <v>нет</v>
      </c>
      <c r="AH51" s="5" t="str">
        <f>""</f>
        <v/>
      </c>
      <c r="AI51" s="5" t="str">
        <f>""</f>
        <v/>
      </c>
      <c r="AJ51" s="5" t="str">
        <f>""</f>
        <v/>
      </c>
      <c r="AK51" s="8" t="str">
        <f>"1979"</f>
        <v>1979</v>
      </c>
      <c r="AL51" s="5" t="str">
        <f>"38,00"</f>
        <v>38,00</v>
      </c>
      <c r="AM51" s="5" t="str">
        <f>"2027"</f>
        <v>2027</v>
      </c>
      <c r="AN51" s="5" t="str">
        <f t="shared" si="56"/>
        <v>нет</v>
      </c>
      <c r="AO51" s="5" t="str">
        <f>""</f>
        <v/>
      </c>
      <c r="AP51" s="5" t="str">
        <f>""</f>
        <v/>
      </c>
      <c r="AQ51" s="5" t="str">
        <f>""</f>
        <v/>
      </c>
      <c r="AR51" s="5" t="str">
        <f>"да"</f>
        <v>да</v>
      </c>
      <c r="AS51" s="5" t="str">
        <f>""</f>
        <v/>
      </c>
      <c r="AT51" s="5" t="str">
        <f>"30,00"</f>
        <v>30,00</v>
      </c>
      <c r="AU51" s="5" t="str">
        <f>"2027"</f>
        <v>2027</v>
      </c>
      <c r="AV51" s="5" t="str">
        <f t="shared" si="74"/>
        <v>х</v>
      </c>
      <c r="AW51" s="5" t="str">
        <f t="shared" si="74"/>
        <v>х</v>
      </c>
      <c r="AX51" s="5" t="str">
        <f t="shared" si="74"/>
        <v>х</v>
      </c>
      <c r="AY51" s="5" t="str">
        <f>"нет"</f>
        <v>нет</v>
      </c>
      <c r="AZ51" s="5" t="str">
        <f t="shared" si="71"/>
        <v>х</v>
      </c>
      <c r="BA51" s="5" t="str">
        <f t="shared" si="71"/>
        <v>х</v>
      </c>
      <c r="BB51" s="5" t="str">
        <f t="shared" si="71"/>
        <v>х</v>
      </c>
      <c r="BC51" s="5" t="str">
        <f>"нет"</f>
        <v>нет</v>
      </c>
      <c r="BD51" s="5" t="str">
        <f t="shared" si="72"/>
        <v>х</v>
      </c>
      <c r="BE51" s="5" t="str">
        <f t="shared" si="72"/>
        <v>х</v>
      </c>
      <c r="BF51" s="5" t="str">
        <f t="shared" si="72"/>
        <v>х</v>
      </c>
      <c r="BG51" s="5" t="str">
        <f>"1979"</f>
        <v>1979</v>
      </c>
      <c r="BH51" s="5" t="str">
        <f>"35,00"</f>
        <v>35,00</v>
      </c>
      <c r="BI51" s="5" t="str">
        <f>"2026"</f>
        <v>2026</v>
      </c>
      <c r="BJ51" s="5" t="str">
        <f t="shared" si="62"/>
        <v>нет</v>
      </c>
      <c r="BK51" s="5" t="str">
        <f>""</f>
        <v/>
      </c>
      <c r="BL51" s="5" t="str">
        <f>""</f>
        <v/>
      </c>
      <c r="BM51" s="5" t="str">
        <f>""</f>
        <v/>
      </c>
      <c r="BN51" s="5" t="str">
        <f t="shared" si="63"/>
        <v>нет</v>
      </c>
      <c r="BO51" s="5" t="str">
        <f>""</f>
        <v/>
      </c>
      <c r="BP51" s="5" t="str">
        <f>""</f>
        <v/>
      </c>
      <c r="BQ51" s="5" t="str">
        <f>""</f>
        <v/>
      </c>
      <c r="BR51" s="5" t="str">
        <f>"1979"</f>
        <v>1979</v>
      </c>
      <c r="BS51" s="5" t="str">
        <f>"36,00"</f>
        <v>36,00</v>
      </c>
      <c r="BT51" s="5" t="str">
        <f>"2023"</f>
        <v>2023</v>
      </c>
      <c r="BU51" s="5" t="str">
        <f t="shared" si="10"/>
        <v>нет</v>
      </c>
      <c r="BV51" s="5" t="str">
        <f t="shared" si="64"/>
        <v>x</v>
      </c>
      <c r="BW51" s="5" t="str">
        <f t="shared" si="64"/>
        <v>x</v>
      </c>
      <c r="BX51" s="5" t="str">
        <f t="shared" si="64"/>
        <v>x</v>
      </c>
      <c r="BY51" s="5" t="str">
        <f t="shared" si="73"/>
        <v>нет</v>
      </c>
      <c r="BZ51" s="5" t="str">
        <f>"1979"</f>
        <v>1979</v>
      </c>
      <c r="CA51" s="5" t="str">
        <f>"38,00"</f>
        <v>38,00</v>
      </c>
      <c r="CB51" s="5" t="str">
        <f>"2029"</f>
        <v>2029</v>
      </c>
      <c r="CC51" s="5" t="str">
        <f>"1979"</f>
        <v>1979</v>
      </c>
      <c r="CD51" s="5" t="str">
        <f>"37,00"</f>
        <v>37,00</v>
      </c>
      <c r="CE51" s="5" t="str">
        <f>"2027"</f>
        <v>2027</v>
      </c>
      <c r="CF51" s="5" t="str">
        <f>"1979"</f>
        <v>1979</v>
      </c>
      <c r="CG51" s="5" t="str">
        <f>"39,00"</f>
        <v>39,00</v>
      </c>
      <c r="CH51" s="5" t="str">
        <f>"2023"</f>
        <v>2023</v>
      </c>
      <c r="CI51" s="5" t="str">
        <f>"39,00"</f>
        <v>39,00</v>
      </c>
      <c r="CJ51" s="5" t="str">
        <f>"2030"</f>
        <v>2030</v>
      </c>
    </row>
    <row r="52" spans="1:88" ht="11.25" customHeight="1">
      <c r="A52" s="3" t="str">
        <f>"1.39"</f>
        <v>1.39</v>
      </c>
      <c r="B52" s="4" t="str">
        <f>"г. Грязовец, ул. Волкова, д.22"</f>
        <v>г. Грязовец, ул. Волкова, д.22</v>
      </c>
      <c r="C52" s="7" t="str">
        <f>"1919"</f>
        <v>1919</v>
      </c>
      <c r="D52" s="5" t="str">
        <f t="shared" ref="D52:AU52" si="75">"х"</f>
        <v>х</v>
      </c>
      <c r="E52" s="5" t="str">
        <f t="shared" si="75"/>
        <v>х</v>
      </c>
      <c r="F52" s="5" t="str">
        <f t="shared" si="75"/>
        <v>х</v>
      </c>
      <c r="G52" s="5" t="str">
        <f t="shared" si="75"/>
        <v>х</v>
      </c>
      <c r="H52" s="5" t="str">
        <f t="shared" si="75"/>
        <v>х</v>
      </c>
      <c r="I52" s="5" t="str">
        <f t="shared" si="75"/>
        <v>х</v>
      </c>
      <c r="J52" s="5" t="str">
        <f t="shared" si="75"/>
        <v>х</v>
      </c>
      <c r="K52" s="5" t="str">
        <f t="shared" si="75"/>
        <v>х</v>
      </c>
      <c r="L52" s="5" t="str">
        <f t="shared" si="75"/>
        <v>х</v>
      </c>
      <c r="M52" s="5" t="str">
        <f t="shared" si="75"/>
        <v>х</v>
      </c>
      <c r="N52" s="5" t="str">
        <f t="shared" si="75"/>
        <v>х</v>
      </c>
      <c r="O52" s="8" t="str">
        <f t="shared" si="75"/>
        <v>х</v>
      </c>
      <c r="P52" s="5" t="str">
        <f t="shared" si="75"/>
        <v>х</v>
      </c>
      <c r="Q52" s="5" t="str">
        <f t="shared" si="75"/>
        <v>х</v>
      </c>
      <c r="R52" s="5" t="str">
        <f t="shared" si="75"/>
        <v>х</v>
      </c>
      <c r="S52" s="5" t="str">
        <f t="shared" si="75"/>
        <v>х</v>
      </c>
      <c r="T52" s="5" t="str">
        <f t="shared" si="75"/>
        <v>х</v>
      </c>
      <c r="U52" s="5" t="str">
        <f t="shared" si="75"/>
        <v>х</v>
      </c>
      <c r="V52" s="5" t="str">
        <f t="shared" si="75"/>
        <v>х</v>
      </c>
      <c r="W52" s="5" t="str">
        <f t="shared" si="75"/>
        <v>х</v>
      </c>
      <c r="X52" s="5" t="str">
        <f t="shared" si="75"/>
        <v>х</v>
      </c>
      <c r="Y52" s="9" t="str">
        <f t="shared" si="75"/>
        <v>х</v>
      </c>
      <c r="Z52" s="5" t="str">
        <f t="shared" si="75"/>
        <v>х</v>
      </c>
      <c r="AA52" s="5" t="str">
        <f t="shared" si="75"/>
        <v>х</v>
      </c>
      <c r="AB52" s="5" t="str">
        <f t="shared" si="75"/>
        <v>х</v>
      </c>
      <c r="AC52" s="5" t="str">
        <f t="shared" si="75"/>
        <v>х</v>
      </c>
      <c r="AD52" s="5" t="str">
        <f t="shared" si="75"/>
        <v>х</v>
      </c>
      <c r="AE52" s="5" t="str">
        <f t="shared" si="75"/>
        <v>х</v>
      </c>
      <c r="AF52" s="5" t="str">
        <f t="shared" si="75"/>
        <v>х</v>
      </c>
      <c r="AG52" s="5" t="str">
        <f t="shared" si="75"/>
        <v>х</v>
      </c>
      <c r="AH52" s="5" t="str">
        <f t="shared" si="75"/>
        <v>х</v>
      </c>
      <c r="AI52" s="5" t="str">
        <f t="shared" si="75"/>
        <v>х</v>
      </c>
      <c r="AJ52" s="5" t="str">
        <f t="shared" si="75"/>
        <v>х</v>
      </c>
      <c r="AK52" s="8" t="str">
        <f t="shared" si="75"/>
        <v>х</v>
      </c>
      <c r="AL52" s="5" t="str">
        <f t="shared" si="75"/>
        <v>х</v>
      </c>
      <c r="AM52" s="5" t="str">
        <f t="shared" si="75"/>
        <v>х</v>
      </c>
      <c r="AN52" s="5" t="str">
        <f t="shared" si="75"/>
        <v>х</v>
      </c>
      <c r="AO52" s="5" t="str">
        <f t="shared" si="75"/>
        <v>х</v>
      </c>
      <c r="AP52" s="5" t="str">
        <f t="shared" si="75"/>
        <v>х</v>
      </c>
      <c r="AQ52" s="5" t="str">
        <f t="shared" si="75"/>
        <v>х</v>
      </c>
      <c r="AR52" s="5" t="str">
        <f t="shared" si="75"/>
        <v>х</v>
      </c>
      <c r="AS52" s="5" t="str">
        <f t="shared" si="75"/>
        <v>х</v>
      </c>
      <c r="AT52" s="5" t="str">
        <f t="shared" si="75"/>
        <v>х</v>
      </c>
      <c r="AU52" s="5" t="str">
        <f t="shared" si="75"/>
        <v>х</v>
      </c>
      <c r="AV52" s="5" t="str">
        <f t="shared" si="74"/>
        <v>х</v>
      </c>
      <c r="AW52" s="5" t="str">
        <f t="shared" si="74"/>
        <v>х</v>
      </c>
      <c r="AX52" s="5" t="str">
        <f t="shared" si="74"/>
        <v>х</v>
      </c>
      <c r="AY52" s="5" t="str">
        <f>"х"</f>
        <v>х</v>
      </c>
      <c r="AZ52" s="5" t="str">
        <f t="shared" si="71"/>
        <v>х</v>
      </c>
      <c r="BA52" s="5" t="str">
        <f t="shared" si="71"/>
        <v>х</v>
      </c>
      <c r="BB52" s="5" t="str">
        <f t="shared" si="71"/>
        <v>х</v>
      </c>
      <c r="BC52" s="5" t="str">
        <f>"х"</f>
        <v>х</v>
      </c>
      <c r="BD52" s="5" t="str">
        <f t="shared" si="72"/>
        <v>х</v>
      </c>
      <c r="BE52" s="5" t="str">
        <f t="shared" si="72"/>
        <v>х</v>
      </c>
      <c r="BF52" s="5" t="str">
        <f t="shared" si="72"/>
        <v>х</v>
      </c>
      <c r="BG52" s="5" t="str">
        <f t="shared" ref="BG52:BQ52" si="76">"х"</f>
        <v>х</v>
      </c>
      <c r="BH52" s="5" t="str">
        <f t="shared" si="76"/>
        <v>х</v>
      </c>
      <c r="BI52" s="5" t="str">
        <f t="shared" si="76"/>
        <v>х</v>
      </c>
      <c r="BJ52" s="5" t="str">
        <f t="shared" si="76"/>
        <v>х</v>
      </c>
      <c r="BK52" s="5" t="str">
        <f t="shared" si="76"/>
        <v>х</v>
      </c>
      <c r="BL52" s="5" t="str">
        <f t="shared" si="76"/>
        <v>х</v>
      </c>
      <c r="BM52" s="5" t="str">
        <f t="shared" si="76"/>
        <v>х</v>
      </c>
      <c r="BN52" s="5" t="str">
        <f t="shared" si="76"/>
        <v>х</v>
      </c>
      <c r="BO52" s="5" t="str">
        <f t="shared" si="76"/>
        <v>х</v>
      </c>
      <c r="BP52" s="5" t="str">
        <f t="shared" si="76"/>
        <v>х</v>
      </c>
      <c r="BQ52" s="5" t="str">
        <f t="shared" si="76"/>
        <v>х</v>
      </c>
      <c r="BR52" s="5" t="str">
        <f>"1919"</f>
        <v>1919</v>
      </c>
      <c r="BS52" s="5" t="str">
        <f>"65,00"</f>
        <v>65,00</v>
      </c>
      <c r="BT52" s="5" t="str">
        <f>"2019"</f>
        <v>2019</v>
      </c>
      <c r="BU52" s="5" t="str">
        <f t="shared" si="10"/>
        <v>нет</v>
      </c>
      <c r="BV52" s="5" t="str">
        <f t="shared" si="64"/>
        <v>x</v>
      </c>
      <c r="BW52" s="5" t="str">
        <f t="shared" si="64"/>
        <v>x</v>
      </c>
      <c r="BX52" s="5" t="str">
        <f t="shared" si="64"/>
        <v>x</v>
      </c>
      <c r="BY52" s="5" t="str">
        <f t="shared" si="73"/>
        <v>нет</v>
      </c>
      <c r="BZ52" s="5" t="str">
        <f>"1919"</f>
        <v>1919</v>
      </c>
      <c r="CA52" s="5" t="str">
        <f>"63,00"</f>
        <v>63,00</v>
      </c>
      <c r="CB52" s="5" t="str">
        <f>"2026"</f>
        <v>2026</v>
      </c>
      <c r="CC52" s="5" t="str">
        <f>"1919"</f>
        <v>1919</v>
      </c>
      <c r="CD52" s="5" t="str">
        <f>"61,00"</f>
        <v>61,00</v>
      </c>
      <c r="CE52" s="5" t="str">
        <f>"2019"</f>
        <v>2019</v>
      </c>
      <c r="CF52" s="5" t="str">
        <f>"1919"</f>
        <v>1919</v>
      </c>
      <c r="CG52" s="5" t="str">
        <f>"59,00"</f>
        <v>59,00</v>
      </c>
      <c r="CH52" s="5" t="str">
        <f>"2020"</f>
        <v>2020</v>
      </c>
      <c r="CI52" s="5" t="str">
        <f>"65,00"</f>
        <v>65,00</v>
      </c>
      <c r="CJ52" s="5" t="str">
        <f>"2029"</f>
        <v>2029</v>
      </c>
    </row>
    <row r="53" spans="1:88" ht="11.25" customHeight="1">
      <c r="A53" s="3" t="str">
        <f>"1.40"</f>
        <v>1.40</v>
      </c>
      <c r="B53" s="4" t="str">
        <f>"г. Грязовец, ул. Волкова, д.28"</f>
        <v>г. Грязовец, ул. Волкова, д.28</v>
      </c>
      <c r="C53" s="7" t="str">
        <f>"1990"</f>
        <v>1990</v>
      </c>
      <c r="D53" s="5" t="str">
        <f>"1990"</f>
        <v>1990</v>
      </c>
      <c r="E53" s="5" t="str">
        <f>"42,00"</f>
        <v>42,00</v>
      </c>
      <c r="F53" s="5" t="str">
        <f>"2024"</f>
        <v>2024</v>
      </c>
      <c r="G53" s="5" t="str">
        <f>"нет"</f>
        <v>нет</v>
      </c>
      <c r="H53" s="5" t="str">
        <f>""</f>
        <v/>
      </c>
      <c r="I53" s="5" t="str">
        <f>""</f>
        <v/>
      </c>
      <c r="J53" s="5" t="str">
        <f>""</f>
        <v/>
      </c>
      <c r="K53" s="5" t="str">
        <f>"нет"</f>
        <v>нет</v>
      </c>
      <c r="L53" s="5" t="str">
        <f>""</f>
        <v/>
      </c>
      <c r="M53" s="5" t="str">
        <f>""</f>
        <v/>
      </c>
      <c r="N53" s="5" t="str">
        <f>""</f>
        <v/>
      </c>
      <c r="O53" s="8" t="str">
        <f>"1990"</f>
        <v>1990</v>
      </c>
      <c r="P53" s="5" t="str">
        <f>"39,00"</f>
        <v>39,00</v>
      </c>
      <c r="Q53" s="5" t="str">
        <f>"2023"</f>
        <v>2023</v>
      </c>
      <c r="R53" s="5" t="str">
        <f>"нет"</f>
        <v>нет</v>
      </c>
      <c r="S53" s="5" t="str">
        <f t="shared" ref="S53:U54" si="77">"х"</f>
        <v>х</v>
      </c>
      <c r="T53" s="5" t="str">
        <f t="shared" si="77"/>
        <v>х</v>
      </c>
      <c r="U53" s="5" t="str">
        <f t="shared" si="77"/>
        <v>х</v>
      </c>
      <c r="V53" s="5" t="str">
        <f>"нет"</f>
        <v>нет</v>
      </c>
      <c r="W53" s="5" t="str">
        <f t="shared" ref="W53:Y54" si="78">"х"</f>
        <v>х</v>
      </c>
      <c r="X53" s="5" t="str">
        <f t="shared" si="78"/>
        <v>х</v>
      </c>
      <c r="Y53" s="9" t="str">
        <f t="shared" si="78"/>
        <v>х</v>
      </c>
      <c r="Z53" s="5" t="str">
        <f>"1990"</f>
        <v>1990</v>
      </c>
      <c r="AA53" s="5" t="str">
        <f>"26,00"</f>
        <v>26,00</v>
      </c>
      <c r="AB53" s="5" t="str">
        <f>"2029"</f>
        <v>2029</v>
      </c>
      <c r="AC53" s="5" t="str">
        <f>"нет"</f>
        <v>нет</v>
      </c>
      <c r="AD53" s="5" t="str">
        <f>""</f>
        <v/>
      </c>
      <c r="AE53" s="5" t="str">
        <f>""</f>
        <v/>
      </c>
      <c r="AF53" s="5" t="str">
        <f>""</f>
        <v/>
      </c>
      <c r="AG53" s="5" t="str">
        <f>"нет"</f>
        <v>нет</v>
      </c>
      <c r="AH53" s="5" t="str">
        <f>""</f>
        <v/>
      </c>
      <c r="AI53" s="5" t="str">
        <f>""</f>
        <v/>
      </c>
      <c r="AJ53" s="5" t="str">
        <f>""</f>
        <v/>
      </c>
      <c r="AK53" s="8" t="str">
        <f>"1990"</f>
        <v>1990</v>
      </c>
      <c r="AL53" s="5" t="str">
        <f>"38,00"</f>
        <v>38,00</v>
      </c>
      <c r="AM53" s="5" t="str">
        <f>"2024"</f>
        <v>2024</v>
      </c>
      <c r="AN53" s="5" t="str">
        <f>"нет"</f>
        <v>нет</v>
      </c>
      <c r="AO53" s="5" t="str">
        <f t="shared" ref="AO53:AQ54" si="79">"х"</f>
        <v>х</v>
      </c>
      <c r="AP53" s="5" t="str">
        <f t="shared" si="79"/>
        <v>х</v>
      </c>
      <c r="AQ53" s="5" t="str">
        <f t="shared" si="79"/>
        <v>х</v>
      </c>
      <c r="AR53" s="5" t="str">
        <f>"нет"</f>
        <v>нет</v>
      </c>
      <c r="AS53" s="5" t="str">
        <f t="shared" ref="AS53:AU54" si="80">"х"</f>
        <v>х</v>
      </c>
      <c r="AT53" s="5" t="str">
        <f t="shared" si="80"/>
        <v>х</v>
      </c>
      <c r="AU53" s="5" t="str">
        <f t="shared" si="80"/>
        <v>х</v>
      </c>
      <c r="AV53" s="5" t="str">
        <f>"1990"</f>
        <v>1990</v>
      </c>
      <c r="AW53" s="5" t="str">
        <f>"39,00"</f>
        <v>39,00</v>
      </c>
      <c r="AX53" s="5" t="str">
        <f>"2024"</f>
        <v>2024</v>
      </c>
      <c r="AY53" s="5" t="str">
        <f>"нет"</f>
        <v>нет</v>
      </c>
      <c r="AZ53" s="5" t="str">
        <f t="shared" si="71"/>
        <v>х</v>
      </c>
      <c r="BA53" s="5" t="str">
        <f t="shared" si="71"/>
        <v>х</v>
      </c>
      <c r="BB53" s="5" t="str">
        <f t="shared" si="71"/>
        <v>х</v>
      </c>
      <c r="BC53" s="5" t="str">
        <f>"нет"</f>
        <v>нет</v>
      </c>
      <c r="BD53" s="5" t="str">
        <f t="shared" si="72"/>
        <v>х</v>
      </c>
      <c r="BE53" s="5" t="str">
        <f t="shared" si="72"/>
        <v>х</v>
      </c>
      <c r="BF53" s="5" t="str">
        <f t="shared" si="72"/>
        <v>х</v>
      </c>
      <c r="BG53" s="5" t="str">
        <f>"1990"</f>
        <v>1990</v>
      </c>
      <c r="BH53" s="5" t="str">
        <f>"38,00"</f>
        <v>38,00</v>
      </c>
      <c r="BI53" s="5" t="str">
        <f>"2021"</f>
        <v>2021</v>
      </c>
      <c r="BJ53" s="5" t="str">
        <f>"нет"</f>
        <v>нет</v>
      </c>
      <c r="BK53" s="5" t="str">
        <f t="shared" ref="BK53:BM54" si="81">"х"</f>
        <v>х</v>
      </c>
      <c r="BL53" s="5" t="str">
        <f t="shared" si="81"/>
        <v>х</v>
      </c>
      <c r="BM53" s="5" t="str">
        <f t="shared" si="81"/>
        <v>х</v>
      </c>
      <c r="BN53" s="5" t="str">
        <f>"нет"</f>
        <v>нет</v>
      </c>
      <c r="BO53" s="5" t="str">
        <f t="shared" ref="BO53:BQ54" si="82">"х"</f>
        <v>х</v>
      </c>
      <c r="BP53" s="5" t="str">
        <f t="shared" si="82"/>
        <v>х</v>
      </c>
      <c r="BQ53" s="5" t="str">
        <f t="shared" si="82"/>
        <v>х</v>
      </c>
      <c r="BR53" s="5" t="str">
        <f>"1990"</f>
        <v>1990</v>
      </c>
      <c r="BS53" s="5" t="str">
        <f>"40,00"</f>
        <v>40,00</v>
      </c>
      <c r="BT53" s="5" t="str">
        <f>"2020"</f>
        <v>2020</v>
      </c>
      <c r="BU53" s="5" t="str">
        <f t="shared" si="10"/>
        <v>нет</v>
      </c>
      <c r="BV53" s="5" t="str">
        <f t="shared" si="64"/>
        <v>x</v>
      </c>
      <c r="BW53" s="5" t="str">
        <f t="shared" si="64"/>
        <v>x</v>
      </c>
      <c r="BX53" s="5" t="str">
        <f t="shared" si="64"/>
        <v>x</v>
      </c>
      <c r="BY53" s="5" t="str">
        <f t="shared" si="73"/>
        <v>нет</v>
      </c>
      <c r="BZ53" s="5" t="str">
        <f>"1990"</f>
        <v>1990</v>
      </c>
      <c r="CA53" s="5" t="str">
        <f>"40,00"</f>
        <v>40,00</v>
      </c>
      <c r="CB53" s="5" t="str">
        <f>"2021"</f>
        <v>2021</v>
      </c>
      <c r="CC53" s="5" t="str">
        <f>"1990"</f>
        <v>1990</v>
      </c>
      <c r="CD53" s="5" t="str">
        <f>"40,00"</f>
        <v>40,00</v>
      </c>
      <c r="CE53" s="5" t="str">
        <f>"2023"</f>
        <v>2023</v>
      </c>
      <c r="CF53" s="5" t="str">
        <f>"1990"</f>
        <v>1990</v>
      </c>
      <c r="CG53" s="5" t="str">
        <f>"42,00"</f>
        <v>42,00</v>
      </c>
      <c r="CH53" s="5" t="str">
        <f>"2024"</f>
        <v>2024</v>
      </c>
      <c r="CI53" s="5" t="str">
        <f>"42,00"</f>
        <v>42,00</v>
      </c>
      <c r="CJ53" s="5" t="str">
        <f>"2031"</f>
        <v>2031</v>
      </c>
    </row>
    <row r="54" spans="1:88" ht="11.25" customHeight="1">
      <c r="A54" s="3" t="str">
        <f>"1.41"</f>
        <v>1.41</v>
      </c>
      <c r="B54" s="4" t="str">
        <f>"г. Грязовец, ул. Волкова, д.3"</f>
        <v>г. Грязовец, ул. Волкова, д.3</v>
      </c>
      <c r="C54" s="7" t="str">
        <f>"1972"</f>
        <v>1972</v>
      </c>
      <c r="D54" s="5" t="str">
        <f>"1972"</f>
        <v>1972</v>
      </c>
      <c r="E54" s="5" t="str">
        <f>"25,00"</f>
        <v>25,00</v>
      </c>
      <c r="F54" s="5" t="str">
        <f>"2024"</f>
        <v>2024</v>
      </c>
      <c r="G54" s="5" t="str">
        <f t="shared" ref="G54:G61" si="83">"да"</f>
        <v>да</v>
      </c>
      <c r="H54" s="5" t="str">
        <f>""</f>
        <v/>
      </c>
      <c r="I54" s="5" t="str">
        <f>"20,00"</f>
        <v>20,00</v>
      </c>
      <c r="J54" s="5" t="str">
        <f>"2024"</f>
        <v>2024</v>
      </c>
      <c r="K54" s="5" t="str">
        <f>"да"</f>
        <v>да</v>
      </c>
      <c r="L54" s="5" t="str">
        <f>""</f>
        <v/>
      </c>
      <c r="M54" s="5" t="str">
        <f>"20,00"</f>
        <v>20,00</v>
      </c>
      <c r="N54" s="5" t="str">
        <f>"2024"</f>
        <v>2024</v>
      </c>
      <c r="O54" s="8" t="str">
        <f>"1972"</f>
        <v>1972</v>
      </c>
      <c r="P54" s="5" t="str">
        <f>"30,00"</f>
        <v>30,00</v>
      </c>
      <c r="Q54" s="5" t="str">
        <f>"2021"</f>
        <v>2021</v>
      </c>
      <c r="R54" s="5" t="str">
        <f>"да"</f>
        <v>да</v>
      </c>
      <c r="S54" s="5" t="str">
        <f t="shared" si="77"/>
        <v>х</v>
      </c>
      <c r="T54" s="5" t="str">
        <f t="shared" si="77"/>
        <v>х</v>
      </c>
      <c r="U54" s="5" t="str">
        <f t="shared" si="77"/>
        <v>х</v>
      </c>
      <c r="V54" s="5" t="str">
        <f>"да"</f>
        <v>да</v>
      </c>
      <c r="W54" s="5" t="str">
        <f t="shared" si="78"/>
        <v>х</v>
      </c>
      <c r="X54" s="5" t="str">
        <f t="shared" si="78"/>
        <v>х</v>
      </c>
      <c r="Y54" s="9" t="str">
        <f t="shared" si="78"/>
        <v>х</v>
      </c>
      <c r="Z54" s="5" t="str">
        <f>"1972"</f>
        <v>1972</v>
      </c>
      <c r="AA54" s="5" t="str">
        <f>"34,00"</f>
        <v>34,00</v>
      </c>
      <c r="AB54" s="5" t="str">
        <f>"2025"</f>
        <v>2025</v>
      </c>
      <c r="AC54" s="5" t="str">
        <f>"да"</f>
        <v>да</v>
      </c>
      <c r="AD54" s="5" t="str">
        <f>""</f>
        <v/>
      </c>
      <c r="AE54" s="5" t="str">
        <f>"30,00"</f>
        <v>30,00</v>
      </c>
      <c r="AF54" s="5" t="str">
        <f>"2025"</f>
        <v>2025</v>
      </c>
      <c r="AG54" s="5" t="str">
        <f>"да"</f>
        <v>да</v>
      </c>
      <c r="AH54" s="5" t="str">
        <f>""</f>
        <v/>
      </c>
      <c r="AI54" s="5" t="str">
        <f>"30,00"</f>
        <v>30,00</v>
      </c>
      <c r="AJ54" s="5" t="str">
        <f>"2025"</f>
        <v>2025</v>
      </c>
      <c r="AK54" s="8" t="str">
        <f>"1972"</f>
        <v>1972</v>
      </c>
      <c r="AL54" s="5" t="str">
        <f>"36,00"</f>
        <v>36,00</v>
      </c>
      <c r="AM54" s="5" t="str">
        <f>"2023"</f>
        <v>2023</v>
      </c>
      <c r="AN54" s="5" t="str">
        <f>"нет"</f>
        <v>нет</v>
      </c>
      <c r="AO54" s="5" t="str">
        <f t="shared" si="79"/>
        <v>х</v>
      </c>
      <c r="AP54" s="5" t="str">
        <f t="shared" si="79"/>
        <v>х</v>
      </c>
      <c r="AQ54" s="5" t="str">
        <f t="shared" si="79"/>
        <v>х</v>
      </c>
      <c r="AR54" s="5" t="str">
        <f>"нет"</f>
        <v>нет</v>
      </c>
      <c r="AS54" s="5" t="str">
        <f t="shared" si="80"/>
        <v>х</v>
      </c>
      <c r="AT54" s="5" t="str">
        <f t="shared" si="80"/>
        <v>х</v>
      </c>
      <c r="AU54" s="5" t="str">
        <f t="shared" si="80"/>
        <v>х</v>
      </c>
      <c r="AV54" s="5" t="str">
        <f>"1972"</f>
        <v>1972</v>
      </c>
      <c r="AW54" s="5" t="str">
        <f>"32,00"</f>
        <v>32,00</v>
      </c>
      <c r="AX54" s="5" t="str">
        <f>"2023"</f>
        <v>2023</v>
      </c>
      <c r="AY54" s="5" t="str">
        <f>"нет"</f>
        <v>нет</v>
      </c>
      <c r="AZ54" s="5" t="str">
        <f t="shared" si="71"/>
        <v>х</v>
      </c>
      <c r="BA54" s="5" t="str">
        <f t="shared" si="71"/>
        <v>х</v>
      </c>
      <c r="BB54" s="5" t="str">
        <f t="shared" si="71"/>
        <v>х</v>
      </c>
      <c r="BC54" s="5" t="str">
        <f>"нет"</f>
        <v>нет</v>
      </c>
      <c r="BD54" s="5" t="str">
        <f t="shared" si="72"/>
        <v>х</v>
      </c>
      <c r="BE54" s="5" t="str">
        <f t="shared" si="72"/>
        <v>х</v>
      </c>
      <c r="BF54" s="5" t="str">
        <f t="shared" si="72"/>
        <v>х</v>
      </c>
      <c r="BG54" s="5" t="str">
        <f>"1972"</f>
        <v>1972</v>
      </c>
      <c r="BH54" s="5" t="str">
        <f>"33,00"</f>
        <v>33,00</v>
      </c>
      <c r="BI54" s="5" t="str">
        <f>"2021"</f>
        <v>2021</v>
      </c>
      <c r="BJ54" s="5" t="str">
        <f>"нет"</f>
        <v>нет</v>
      </c>
      <c r="BK54" s="5" t="str">
        <f t="shared" si="81"/>
        <v>х</v>
      </c>
      <c r="BL54" s="5" t="str">
        <f t="shared" si="81"/>
        <v>х</v>
      </c>
      <c r="BM54" s="5" t="str">
        <f t="shared" si="81"/>
        <v>х</v>
      </c>
      <c r="BN54" s="5" t="str">
        <f>"нет"</f>
        <v>нет</v>
      </c>
      <c r="BO54" s="5" t="str">
        <f t="shared" si="82"/>
        <v>х</v>
      </c>
      <c r="BP54" s="5" t="str">
        <f t="shared" si="82"/>
        <v>х</v>
      </c>
      <c r="BQ54" s="5" t="str">
        <f t="shared" si="82"/>
        <v>х</v>
      </c>
      <c r="BR54" s="5" t="str">
        <f>"1972"</f>
        <v>1972</v>
      </c>
      <c r="BS54" s="5" t="str">
        <f>"31,00"</f>
        <v>31,00</v>
      </c>
      <c r="BT54" s="5" t="str">
        <f>"2020"</f>
        <v>2020</v>
      </c>
      <c r="BU54" s="5" t="str">
        <f t="shared" si="10"/>
        <v>нет</v>
      </c>
      <c r="BV54" s="5" t="str">
        <f t="shared" ref="BV54:BX73" si="84">"x"</f>
        <v>x</v>
      </c>
      <c r="BW54" s="5" t="str">
        <f t="shared" si="84"/>
        <v>x</v>
      </c>
      <c r="BX54" s="5" t="str">
        <f t="shared" si="84"/>
        <v>x</v>
      </c>
      <c r="BY54" s="5" t="str">
        <f t="shared" si="73"/>
        <v>нет</v>
      </c>
      <c r="BZ54" s="5" t="str">
        <f>"1972"</f>
        <v>1972</v>
      </c>
      <c r="CA54" s="5" t="str">
        <f>"32,00"</f>
        <v>32,00</v>
      </c>
      <c r="CB54" s="5" t="str">
        <f>"2026"</f>
        <v>2026</v>
      </c>
      <c r="CC54" s="5" t="str">
        <f>"1972"</f>
        <v>1972</v>
      </c>
      <c r="CD54" s="5" t="str">
        <f>"33,00"</f>
        <v>33,00</v>
      </c>
      <c r="CE54" s="5" t="str">
        <f>"2024"</f>
        <v>2024</v>
      </c>
      <c r="CF54" s="5" t="str">
        <f>"1972"</f>
        <v>1972</v>
      </c>
      <c r="CG54" s="5" t="str">
        <f>"33,00"</f>
        <v>33,00</v>
      </c>
      <c r="CH54" s="5" t="str">
        <f>"2025"</f>
        <v>2025</v>
      </c>
      <c r="CI54" s="5" t="str">
        <f>"33,00"</f>
        <v>33,00</v>
      </c>
      <c r="CJ54" s="5" t="str">
        <f>"2037"</f>
        <v>2037</v>
      </c>
    </row>
    <row r="55" spans="1:88" ht="11.25" customHeight="1">
      <c r="A55" s="3" t="str">
        <f>"1.42"</f>
        <v>1.42</v>
      </c>
      <c r="B55" s="4" t="str">
        <f>"г. Грязовец, ул. Волкова, д.8А"</f>
        <v>г. Грязовец, ул. Волкова, д.8А</v>
      </c>
      <c r="C55" s="7" t="str">
        <f>"1988"</f>
        <v>1988</v>
      </c>
      <c r="D55" s="5" t="str">
        <f>"1988"</f>
        <v>1988</v>
      </c>
      <c r="E55" s="5" t="str">
        <f>"33,00"</f>
        <v>33,00</v>
      </c>
      <c r="F55" s="5" t="str">
        <f>"2023"</f>
        <v>2023</v>
      </c>
      <c r="G55" s="5" t="str">
        <f t="shared" si="83"/>
        <v>да</v>
      </c>
      <c r="H55" s="5" t="str">
        <f>""</f>
        <v/>
      </c>
      <c r="I55" s="5" t="str">
        <f>"25,00"</f>
        <v>25,00</v>
      </c>
      <c r="J55" s="5" t="str">
        <f>"2023"</f>
        <v>2023</v>
      </c>
      <c r="K55" s="5" t="str">
        <f t="shared" ref="K55:K69" si="85">"нет"</f>
        <v>нет</v>
      </c>
      <c r="L55" s="5" t="str">
        <f>""</f>
        <v/>
      </c>
      <c r="M55" s="5" t="str">
        <f>""</f>
        <v/>
      </c>
      <c r="N55" s="5" t="str">
        <f>""</f>
        <v/>
      </c>
      <c r="O55" s="8" t="str">
        <f>"1988"</f>
        <v>1988</v>
      </c>
      <c r="P55" s="5" t="str">
        <f>"33,00"</f>
        <v>33,00</v>
      </c>
      <c r="Q55" s="5" t="str">
        <f>"2022"</f>
        <v>2022</v>
      </c>
      <c r="R55" s="5" t="str">
        <f>"нет"</f>
        <v>нет</v>
      </c>
      <c r="S55" s="5" t="str">
        <f>""</f>
        <v/>
      </c>
      <c r="T55" s="5" t="str">
        <f>""</f>
        <v/>
      </c>
      <c r="U55" s="5" t="str">
        <f>""</f>
        <v/>
      </c>
      <c r="V55" s="5" t="str">
        <f>"нет"</f>
        <v>нет</v>
      </c>
      <c r="W55" s="5" t="str">
        <f>""</f>
        <v/>
      </c>
      <c r="X55" s="5" t="str">
        <f>""</f>
        <v/>
      </c>
      <c r="Y55" s="9" t="str">
        <f>""</f>
        <v/>
      </c>
      <c r="Z55" s="5" t="str">
        <f>"1988"</f>
        <v>1988</v>
      </c>
      <c r="AA55" s="5" t="str">
        <f>"34,00"</f>
        <v>34,00</v>
      </c>
      <c r="AB55" s="5" t="str">
        <f>"2024"</f>
        <v>2024</v>
      </c>
      <c r="AC55" s="5" t="str">
        <f>"нет"</f>
        <v>нет</v>
      </c>
      <c r="AD55" s="5" t="str">
        <f>""</f>
        <v/>
      </c>
      <c r="AE55" s="5" t="str">
        <f>""</f>
        <v/>
      </c>
      <c r="AF55" s="5" t="str">
        <f>""</f>
        <v/>
      </c>
      <c r="AG55" s="5" t="str">
        <f>"нет"</f>
        <v>нет</v>
      </c>
      <c r="AH55" s="5" t="str">
        <f>""</f>
        <v/>
      </c>
      <c r="AI55" s="5" t="str">
        <f>""</f>
        <v/>
      </c>
      <c r="AJ55" s="5" t="str">
        <f>""</f>
        <v/>
      </c>
      <c r="AK55" s="8" t="str">
        <f>"1988"</f>
        <v>1988</v>
      </c>
      <c r="AL55" s="5" t="str">
        <f>"32,00"</f>
        <v>32,00</v>
      </c>
      <c r="AM55" s="5" t="str">
        <f>"2023"</f>
        <v>2023</v>
      </c>
      <c r="AN55" s="5" t="str">
        <f>"нет"</f>
        <v>нет</v>
      </c>
      <c r="AO55" s="5" t="str">
        <f>""</f>
        <v/>
      </c>
      <c r="AP55" s="5" t="str">
        <f>""</f>
        <v/>
      </c>
      <c r="AQ55" s="5" t="str">
        <f>""</f>
        <v/>
      </c>
      <c r="AR55" s="5" t="str">
        <f>"нет"</f>
        <v>нет</v>
      </c>
      <c r="AS55" s="5" t="str">
        <f>""</f>
        <v/>
      </c>
      <c r="AT55" s="5" t="str">
        <f>""</f>
        <v/>
      </c>
      <c r="AU55" s="5" t="str">
        <f>""</f>
        <v/>
      </c>
      <c r="AV55" s="5" t="str">
        <f>"1988"</f>
        <v>1988</v>
      </c>
      <c r="AW55" s="5" t="str">
        <f>"30,00"</f>
        <v>30,00</v>
      </c>
      <c r="AX55" s="5" t="str">
        <f>"2023"</f>
        <v>2023</v>
      </c>
      <c r="AY55" s="5" t="str">
        <f>"нет"</f>
        <v>нет</v>
      </c>
      <c r="AZ55" s="5" t="str">
        <f t="shared" si="71"/>
        <v>х</v>
      </c>
      <c r="BA55" s="5" t="str">
        <f t="shared" si="71"/>
        <v>х</v>
      </c>
      <c r="BB55" s="5" t="str">
        <f t="shared" si="71"/>
        <v>х</v>
      </c>
      <c r="BC55" s="5" t="str">
        <f>"нет"</f>
        <v>нет</v>
      </c>
      <c r="BD55" s="5" t="str">
        <f t="shared" si="72"/>
        <v>х</v>
      </c>
      <c r="BE55" s="5" t="str">
        <f t="shared" si="72"/>
        <v>х</v>
      </c>
      <c r="BF55" s="5" t="str">
        <f t="shared" si="72"/>
        <v>х</v>
      </c>
      <c r="BG55" s="5" t="str">
        <f>"1988"</f>
        <v>1988</v>
      </c>
      <c r="BH55" s="5" t="str">
        <f>"33,00"</f>
        <v>33,00</v>
      </c>
      <c r="BI55" s="5" t="str">
        <f>"2024"</f>
        <v>2024</v>
      </c>
      <c r="BJ55" s="5" t="str">
        <f>"нет"</f>
        <v>нет</v>
      </c>
      <c r="BK55" s="5" t="str">
        <f>""</f>
        <v/>
      </c>
      <c r="BL55" s="5" t="str">
        <f>""</f>
        <v/>
      </c>
      <c r="BM55" s="5" t="str">
        <f>""</f>
        <v/>
      </c>
      <c r="BN55" s="5" t="str">
        <f>"нет"</f>
        <v>нет</v>
      </c>
      <c r="BO55" s="5" t="str">
        <f>""</f>
        <v/>
      </c>
      <c r="BP55" s="5" t="str">
        <f>""</f>
        <v/>
      </c>
      <c r="BQ55" s="5" t="str">
        <f>""</f>
        <v/>
      </c>
      <c r="BR55" s="5" t="str">
        <f>"1988"</f>
        <v>1988</v>
      </c>
      <c r="BS55" s="5" t="str">
        <f>"33,00"</f>
        <v>33,00</v>
      </c>
      <c r="BT55" s="5" t="str">
        <f>"2019"</f>
        <v>2019</v>
      </c>
      <c r="BU55" s="5" t="str">
        <f t="shared" si="10"/>
        <v>нет</v>
      </c>
      <c r="BV55" s="5" t="str">
        <f t="shared" si="84"/>
        <v>x</v>
      </c>
      <c r="BW55" s="5" t="str">
        <f t="shared" si="84"/>
        <v>x</v>
      </c>
      <c r="BX55" s="5" t="str">
        <f t="shared" si="84"/>
        <v>x</v>
      </c>
      <c r="BY55" s="5" t="str">
        <f t="shared" si="73"/>
        <v>нет</v>
      </c>
      <c r="BZ55" s="5" t="str">
        <f>"1988"</f>
        <v>1988</v>
      </c>
      <c r="CA55" s="5" t="str">
        <f>"36,00"</f>
        <v>36,00</v>
      </c>
      <c r="CB55" s="5" t="str">
        <f>"2025"</f>
        <v>2025</v>
      </c>
      <c r="CC55" s="5" t="str">
        <f>"1988"</f>
        <v>1988</v>
      </c>
      <c r="CD55" s="5" t="str">
        <f>"42,00"</f>
        <v>42,00</v>
      </c>
      <c r="CE55" s="5" t="str">
        <f>"2025"</f>
        <v>2025</v>
      </c>
      <c r="CF55" s="5" t="str">
        <f>"1988"</f>
        <v>1988</v>
      </c>
      <c r="CG55" s="5" t="str">
        <f>"39,00"</f>
        <v>39,00</v>
      </c>
      <c r="CH55" s="5" t="str">
        <f>"2021"</f>
        <v>2021</v>
      </c>
      <c r="CI55" s="5" t="str">
        <f>"32,00"</f>
        <v>32,00</v>
      </c>
      <c r="CJ55" s="5" t="str">
        <f>"2043"</f>
        <v>2043</v>
      </c>
    </row>
    <row r="56" spans="1:88" ht="11.25" customHeight="1">
      <c r="A56" s="3" t="str">
        <f>"1.43"</f>
        <v>1.43</v>
      </c>
      <c r="B56" s="4" t="str">
        <f>"г. Грязовец, ул. Володарского, д.3"</f>
        <v>г. Грязовец, ул. Володарского, д.3</v>
      </c>
      <c r="C56" s="7" t="str">
        <f>"1967"</f>
        <v>1967</v>
      </c>
      <c r="D56" s="5" t="str">
        <f>"1967"</f>
        <v>1967</v>
      </c>
      <c r="E56" s="5" t="str">
        <f>"47,00"</f>
        <v>47,00</v>
      </c>
      <c r="F56" s="5" t="str">
        <f>"2021"</f>
        <v>2021</v>
      </c>
      <c r="G56" s="5" t="str">
        <f t="shared" si="83"/>
        <v>да</v>
      </c>
      <c r="H56" s="5" t="str">
        <f>""</f>
        <v/>
      </c>
      <c r="I56" s="5" t="str">
        <f>"35,00"</f>
        <v>35,00</v>
      </c>
      <c r="J56" s="5" t="str">
        <f>"2021"</f>
        <v>2021</v>
      </c>
      <c r="K56" s="5" t="str">
        <f t="shared" si="85"/>
        <v>нет</v>
      </c>
      <c r="L56" s="5" t="str">
        <f>""</f>
        <v/>
      </c>
      <c r="M56" s="5" t="str">
        <f>""</f>
        <v/>
      </c>
      <c r="N56" s="5" t="str">
        <f>""</f>
        <v/>
      </c>
      <c r="O56" s="8" t="str">
        <f t="shared" ref="O56:AY56" si="86">"х"</f>
        <v>х</v>
      </c>
      <c r="P56" s="5" t="str">
        <f t="shared" si="86"/>
        <v>х</v>
      </c>
      <c r="Q56" s="5" t="str">
        <f t="shared" si="86"/>
        <v>х</v>
      </c>
      <c r="R56" s="5" t="str">
        <f t="shared" si="86"/>
        <v>х</v>
      </c>
      <c r="S56" s="5" t="str">
        <f t="shared" si="86"/>
        <v>х</v>
      </c>
      <c r="T56" s="5" t="str">
        <f t="shared" si="86"/>
        <v>х</v>
      </c>
      <c r="U56" s="5" t="str">
        <f t="shared" si="86"/>
        <v>х</v>
      </c>
      <c r="V56" s="5" t="str">
        <f t="shared" si="86"/>
        <v>х</v>
      </c>
      <c r="W56" s="5" t="str">
        <f t="shared" si="86"/>
        <v>х</v>
      </c>
      <c r="X56" s="5" t="str">
        <f t="shared" si="86"/>
        <v>х</v>
      </c>
      <c r="Y56" s="9" t="str">
        <f t="shared" si="86"/>
        <v>х</v>
      </c>
      <c r="Z56" s="5" t="str">
        <f t="shared" si="86"/>
        <v>х</v>
      </c>
      <c r="AA56" s="5" t="str">
        <f t="shared" si="86"/>
        <v>х</v>
      </c>
      <c r="AB56" s="5" t="str">
        <f t="shared" si="86"/>
        <v>х</v>
      </c>
      <c r="AC56" s="5" t="str">
        <f t="shared" si="86"/>
        <v>х</v>
      </c>
      <c r="AD56" s="5" t="str">
        <f t="shared" si="86"/>
        <v>х</v>
      </c>
      <c r="AE56" s="5" t="str">
        <f t="shared" si="86"/>
        <v>х</v>
      </c>
      <c r="AF56" s="5" t="str">
        <f t="shared" si="86"/>
        <v>х</v>
      </c>
      <c r="AG56" s="5" t="str">
        <f t="shared" si="86"/>
        <v>х</v>
      </c>
      <c r="AH56" s="5" t="str">
        <f t="shared" si="86"/>
        <v>х</v>
      </c>
      <c r="AI56" s="5" t="str">
        <f t="shared" si="86"/>
        <v>х</v>
      </c>
      <c r="AJ56" s="5" t="str">
        <f t="shared" si="86"/>
        <v>х</v>
      </c>
      <c r="AK56" s="8" t="str">
        <f t="shared" si="86"/>
        <v>х</v>
      </c>
      <c r="AL56" s="5" t="str">
        <f t="shared" si="86"/>
        <v>х</v>
      </c>
      <c r="AM56" s="5" t="str">
        <f t="shared" si="86"/>
        <v>х</v>
      </c>
      <c r="AN56" s="5" t="str">
        <f t="shared" si="86"/>
        <v>х</v>
      </c>
      <c r="AO56" s="5" t="str">
        <f t="shared" si="86"/>
        <v>х</v>
      </c>
      <c r="AP56" s="5" t="str">
        <f t="shared" si="86"/>
        <v>х</v>
      </c>
      <c r="AQ56" s="5" t="str">
        <f t="shared" si="86"/>
        <v>х</v>
      </c>
      <c r="AR56" s="5" t="str">
        <f t="shared" si="86"/>
        <v>х</v>
      </c>
      <c r="AS56" s="5" t="str">
        <f t="shared" si="86"/>
        <v>х</v>
      </c>
      <c r="AT56" s="5" t="str">
        <f t="shared" si="86"/>
        <v>х</v>
      </c>
      <c r="AU56" s="5" t="str">
        <f t="shared" si="86"/>
        <v>х</v>
      </c>
      <c r="AV56" s="5" t="str">
        <f t="shared" si="86"/>
        <v>х</v>
      </c>
      <c r="AW56" s="5" t="str">
        <f t="shared" si="86"/>
        <v>х</v>
      </c>
      <c r="AX56" s="5" t="str">
        <f t="shared" si="86"/>
        <v>х</v>
      </c>
      <c r="AY56" s="5" t="str">
        <f t="shared" si="86"/>
        <v>х</v>
      </c>
      <c r="AZ56" s="5" t="str">
        <f t="shared" si="71"/>
        <v>х</v>
      </c>
      <c r="BA56" s="5" t="str">
        <f t="shared" si="71"/>
        <v>х</v>
      </c>
      <c r="BB56" s="5" t="str">
        <f t="shared" si="71"/>
        <v>х</v>
      </c>
      <c r="BC56" s="5" t="str">
        <f>"х"</f>
        <v>х</v>
      </c>
      <c r="BD56" s="5" t="str">
        <f t="shared" si="72"/>
        <v>х</v>
      </c>
      <c r="BE56" s="5" t="str">
        <f t="shared" si="72"/>
        <v>х</v>
      </c>
      <c r="BF56" s="5" t="str">
        <f t="shared" si="72"/>
        <v>х</v>
      </c>
      <c r="BG56" s="5" t="str">
        <f t="shared" ref="BG56:BQ56" si="87">"х"</f>
        <v>х</v>
      </c>
      <c r="BH56" s="5" t="str">
        <f t="shared" si="87"/>
        <v>х</v>
      </c>
      <c r="BI56" s="5" t="str">
        <f t="shared" si="87"/>
        <v>х</v>
      </c>
      <c r="BJ56" s="5" t="str">
        <f t="shared" si="87"/>
        <v>х</v>
      </c>
      <c r="BK56" s="5" t="str">
        <f t="shared" si="87"/>
        <v>х</v>
      </c>
      <c r="BL56" s="5" t="str">
        <f t="shared" si="87"/>
        <v>х</v>
      </c>
      <c r="BM56" s="5" t="str">
        <f t="shared" si="87"/>
        <v>х</v>
      </c>
      <c r="BN56" s="5" t="str">
        <f t="shared" si="87"/>
        <v>х</v>
      </c>
      <c r="BO56" s="5" t="str">
        <f t="shared" si="87"/>
        <v>х</v>
      </c>
      <c r="BP56" s="5" t="str">
        <f t="shared" si="87"/>
        <v>х</v>
      </c>
      <c r="BQ56" s="5" t="str">
        <f t="shared" si="87"/>
        <v>х</v>
      </c>
      <c r="BR56" s="5" t="str">
        <f>"1967"</f>
        <v>1967</v>
      </c>
      <c r="BS56" s="5" t="str">
        <f>"40,00"</f>
        <v>40,00</v>
      </c>
      <c r="BT56" s="5" t="str">
        <f>"2015"</f>
        <v>2015</v>
      </c>
      <c r="BU56" s="5" t="str">
        <f t="shared" si="10"/>
        <v>нет</v>
      </c>
      <c r="BV56" s="5" t="str">
        <f t="shared" si="84"/>
        <v>x</v>
      </c>
      <c r="BW56" s="5" t="str">
        <f t="shared" si="84"/>
        <v>x</v>
      </c>
      <c r="BX56" s="5" t="str">
        <f t="shared" si="84"/>
        <v>x</v>
      </c>
      <c r="BY56" s="5" t="str">
        <f t="shared" si="73"/>
        <v>нет</v>
      </c>
      <c r="BZ56" s="5" t="str">
        <f>"1967"</f>
        <v>1967</v>
      </c>
      <c r="CA56" s="5" t="str">
        <f>"42,00"</f>
        <v>42,00</v>
      </c>
      <c r="CB56" s="5" t="str">
        <f>"2019"</f>
        <v>2019</v>
      </c>
      <c r="CC56" s="5" t="str">
        <f>"1967"</f>
        <v>1967</v>
      </c>
      <c r="CD56" s="5" t="str">
        <f>"42,00"</f>
        <v>42,00</v>
      </c>
      <c r="CE56" s="5" t="str">
        <f>"2021"</f>
        <v>2021</v>
      </c>
      <c r="CF56" s="5" t="str">
        <f>"1967"</f>
        <v>1967</v>
      </c>
      <c r="CG56" s="5" t="str">
        <f>"43,00"</f>
        <v>43,00</v>
      </c>
      <c r="CH56" s="5" t="str">
        <f>"2019"</f>
        <v>2019</v>
      </c>
      <c r="CI56" s="5" t="str">
        <f>"47,00"</f>
        <v>47,00</v>
      </c>
      <c r="CJ56" s="5" t="str">
        <f>"2043"</f>
        <v>2043</v>
      </c>
    </row>
    <row r="57" spans="1:88" ht="11.25" customHeight="1">
      <c r="A57" s="3" t="str">
        <f>"1.44"</f>
        <v>1.44</v>
      </c>
      <c r="B57" s="4" t="str">
        <f>"г. Грязовец, ул. Володарского, д.68"</f>
        <v>г. Грязовец, ул. Володарского, д.68</v>
      </c>
      <c r="C57" s="7" t="str">
        <f>"1980"</f>
        <v>1980</v>
      </c>
      <c r="D57" s="5" t="str">
        <f>"1980"</f>
        <v>1980</v>
      </c>
      <c r="E57" s="5" t="str">
        <f>"30,00"</f>
        <v>30,00</v>
      </c>
      <c r="F57" s="5" t="str">
        <f>"2026"</f>
        <v>2026</v>
      </c>
      <c r="G57" s="5" t="str">
        <f t="shared" si="83"/>
        <v>да</v>
      </c>
      <c r="H57" s="5" t="str">
        <f>""</f>
        <v/>
      </c>
      <c r="I57" s="5" t="str">
        <f>"20,00"</f>
        <v>20,00</v>
      </c>
      <c r="J57" s="5" t="str">
        <f>"2026"</f>
        <v>2026</v>
      </c>
      <c r="K57" s="5" t="str">
        <f t="shared" si="85"/>
        <v>нет</v>
      </c>
      <c r="L57" s="5" t="str">
        <f>""</f>
        <v/>
      </c>
      <c r="M57" s="5" t="str">
        <f>""</f>
        <v/>
      </c>
      <c r="N57" s="5" t="str">
        <f>""</f>
        <v/>
      </c>
      <c r="O57" s="8" t="str">
        <f>"1980"</f>
        <v>1980</v>
      </c>
      <c r="P57" s="5" t="str">
        <f>"30,00"</f>
        <v>30,00</v>
      </c>
      <c r="Q57" s="5" t="str">
        <f>"2025"</f>
        <v>2025</v>
      </c>
      <c r="R57" s="5" t="str">
        <f t="shared" ref="R57:R71" si="88">"нет"</f>
        <v>нет</v>
      </c>
      <c r="S57" s="5" t="str">
        <f>""</f>
        <v/>
      </c>
      <c r="T57" s="5" t="str">
        <f>""</f>
        <v/>
      </c>
      <c r="U57" s="5" t="str">
        <f>""</f>
        <v/>
      </c>
      <c r="V57" s="5" t="str">
        <f t="shared" ref="V57:V71" si="89">"нет"</f>
        <v>нет</v>
      </c>
      <c r="W57" s="5" t="str">
        <f>""</f>
        <v/>
      </c>
      <c r="X57" s="5" t="str">
        <f>""</f>
        <v/>
      </c>
      <c r="Y57" s="9" t="str">
        <f>""</f>
        <v/>
      </c>
      <c r="Z57" s="5" t="str">
        <f>"1980"</f>
        <v>1980</v>
      </c>
      <c r="AA57" s="5" t="str">
        <f>"29,00"</f>
        <v>29,00</v>
      </c>
      <c r="AB57" s="5" t="str">
        <f>"2026"</f>
        <v>2026</v>
      </c>
      <c r="AC57" s="5" t="str">
        <f t="shared" ref="AC57:AC69" si="90">"нет"</f>
        <v>нет</v>
      </c>
      <c r="AD57" s="5" t="str">
        <f>""</f>
        <v/>
      </c>
      <c r="AE57" s="5" t="str">
        <f>""</f>
        <v/>
      </c>
      <c r="AF57" s="5" t="str">
        <f>""</f>
        <v/>
      </c>
      <c r="AG57" s="5" t="str">
        <f t="shared" ref="AG57:AG74" si="91">"нет"</f>
        <v>нет</v>
      </c>
      <c r="AH57" s="5" t="str">
        <f>""</f>
        <v/>
      </c>
      <c r="AI57" s="5" t="str">
        <f>""</f>
        <v/>
      </c>
      <c r="AJ57" s="5" t="str">
        <f>""</f>
        <v/>
      </c>
      <c r="AK57" s="8" t="str">
        <f>"1980"</f>
        <v>1980</v>
      </c>
      <c r="AL57" s="5" t="str">
        <f>"28,00"</f>
        <v>28,00</v>
      </c>
      <c r="AM57" s="5" t="str">
        <f>"2025"</f>
        <v>2025</v>
      </c>
      <c r="AN57" s="5" t="str">
        <f t="shared" ref="AN57:AN71" si="92">"нет"</f>
        <v>нет</v>
      </c>
      <c r="AO57" s="5" t="str">
        <f>""</f>
        <v/>
      </c>
      <c r="AP57" s="5" t="str">
        <f>""</f>
        <v/>
      </c>
      <c r="AQ57" s="5" t="str">
        <f>""</f>
        <v/>
      </c>
      <c r="AR57" s="5" t="str">
        <f t="shared" ref="AR57:AR71" si="93">"нет"</f>
        <v>нет</v>
      </c>
      <c r="AS57" s="5" t="str">
        <f>""</f>
        <v/>
      </c>
      <c r="AT57" s="5" t="str">
        <f>""</f>
        <v/>
      </c>
      <c r="AU57" s="5" t="str">
        <f>""</f>
        <v/>
      </c>
      <c r="AV57" s="5" t="str">
        <f>"1980"</f>
        <v>1980</v>
      </c>
      <c r="AW57" s="5" t="str">
        <f>"29,00"</f>
        <v>29,00</v>
      </c>
      <c r="AX57" s="5" t="str">
        <f>"2024"</f>
        <v>2024</v>
      </c>
      <c r="AY57" s="5" t="str">
        <f>"нет"</f>
        <v>нет</v>
      </c>
      <c r="AZ57" s="5" t="str">
        <f>""</f>
        <v/>
      </c>
      <c r="BA57" s="5" t="str">
        <f>""</f>
        <v/>
      </c>
      <c r="BB57" s="5" t="str">
        <f>""</f>
        <v/>
      </c>
      <c r="BC57" s="5" t="str">
        <f>"да"</f>
        <v>да</v>
      </c>
      <c r="BD57" s="5" t="str">
        <f>""</f>
        <v/>
      </c>
      <c r="BE57" s="5" t="str">
        <f>"25,00"</f>
        <v>25,00</v>
      </c>
      <c r="BF57" s="5" t="str">
        <f>"2024"</f>
        <v>2024</v>
      </c>
      <c r="BG57" s="5" t="str">
        <f>"1980"</f>
        <v>1980</v>
      </c>
      <c r="BH57" s="5" t="str">
        <f>"30,00"</f>
        <v>30,00</v>
      </c>
      <c r="BI57" s="5" t="str">
        <f>"2024"</f>
        <v>2024</v>
      </c>
      <c r="BJ57" s="5" t="str">
        <f t="shared" ref="BJ57:BJ84" si="94">"нет"</f>
        <v>нет</v>
      </c>
      <c r="BK57" s="5" t="str">
        <f>""</f>
        <v/>
      </c>
      <c r="BL57" s="5" t="str">
        <f>""</f>
        <v/>
      </c>
      <c r="BM57" s="5" t="str">
        <f>""</f>
        <v/>
      </c>
      <c r="BN57" s="5" t="str">
        <f t="shared" ref="BN57:BN84" si="95">"нет"</f>
        <v>нет</v>
      </c>
      <c r="BO57" s="5" t="str">
        <f>""</f>
        <v/>
      </c>
      <c r="BP57" s="5" t="str">
        <f>""</f>
        <v/>
      </c>
      <c r="BQ57" s="5" t="str">
        <f>""</f>
        <v/>
      </c>
      <c r="BR57" s="5" t="str">
        <f>"1980"</f>
        <v>1980</v>
      </c>
      <c r="BS57" s="5" t="str">
        <f>"29,00"</f>
        <v>29,00</v>
      </c>
      <c r="BT57" s="5" t="str">
        <f>"2028"</f>
        <v>2028</v>
      </c>
      <c r="BU57" s="5" t="str">
        <f t="shared" si="10"/>
        <v>нет</v>
      </c>
      <c r="BV57" s="5" t="str">
        <f t="shared" si="84"/>
        <v>x</v>
      </c>
      <c r="BW57" s="5" t="str">
        <f t="shared" si="84"/>
        <v>x</v>
      </c>
      <c r="BX57" s="5" t="str">
        <f t="shared" si="84"/>
        <v>x</v>
      </c>
      <c r="BY57" s="5" t="str">
        <f t="shared" si="73"/>
        <v>нет</v>
      </c>
      <c r="BZ57" s="5" t="str">
        <f>"1980"</f>
        <v>1980</v>
      </c>
      <c r="CA57" s="5" t="str">
        <f>"29,00"</f>
        <v>29,00</v>
      </c>
      <c r="CB57" s="5" t="str">
        <f>"2022"</f>
        <v>2022</v>
      </c>
      <c r="CC57" s="5" t="str">
        <f>"1980"</f>
        <v>1980</v>
      </c>
      <c r="CD57" s="5" t="str">
        <f>"30,00"</f>
        <v>30,00</v>
      </c>
      <c r="CE57" s="5" t="str">
        <f>"2027"</f>
        <v>2027</v>
      </c>
      <c r="CF57" s="5" t="str">
        <f>"1980"</f>
        <v>1980</v>
      </c>
      <c r="CG57" s="5" t="str">
        <f>"29,00"</f>
        <v>29,00</v>
      </c>
      <c r="CH57" s="5" t="str">
        <f>"2021"</f>
        <v>2021</v>
      </c>
      <c r="CI57" s="5" t="str">
        <f>"30,00"</f>
        <v>30,00</v>
      </c>
      <c r="CJ57" s="5" t="str">
        <f>"2044"</f>
        <v>2044</v>
      </c>
    </row>
    <row r="58" spans="1:88" ht="11.25" customHeight="1">
      <c r="A58" s="3" t="str">
        <f>"1.45"</f>
        <v>1.45</v>
      </c>
      <c r="B58" s="4" t="str">
        <f>"г. Грязовец, ул. Володарского, д.72"</f>
        <v>г. Грязовец, ул. Володарского, д.72</v>
      </c>
      <c r="C58" s="7" t="str">
        <f>"1974"</f>
        <v>1974</v>
      </c>
      <c r="D58" s="5" t="str">
        <f>"1974"</f>
        <v>1974</v>
      </c>
      <c r="E58" s="5" t="str">
        <f>"35,00"</f>
        <v>35,00</v>
      </c>
      <c r="F58" s="5" t="str">
        <f>"2033"</f>
        <v>2033</v>
      </c>
      <c r="G58" s="5" t="str">
        <f t="shared" si="83"/>
        <v>да</v>
      </c>
      <c r="H58" s="5" t="str">
        <f>""</f>
        <v/>
      </c>
      <c r="I58" s="5" t="str">
        <f>"25,00"</f>
        <v>25,00</v>
      </c>
      <c r="J58" s="5" t="str">
        <f>"2033"</f>
        <v>2033</v>
      </c>
      <c r="K58" s="5" t="str">
        <f t="shared" si="85"/>
        <v>нет</v>
      </c>
      <c r="L58" s="5" t="str">
        <f>""</f>
        <v/>
      </c>
      <c r="M58" s="5" t="str">
        <f>""</f>
        <v/>
      </c>
      <c r="N58" s="5" t="str">
        <f>""</f>
        <v/>
      </c>
      <c r="O58" s="8" t="str">
        <f>"1974"</f>
        <v>1974</v>
      </c>
      <c r="P58" s="5" t="str">
        <f>"36,00"</f>
        <v>36,00</v>
      </c>
      <c r="Q58" s="5" t="str">
        <f>"2024"</f>
        <v>2024</v>
      </c>
      <c r="R58" s="5" t="str">
        <f t="shared" si="88"/>
        <v>нет</v>
      </c>
      <c r="S58" s="5" t="str">
        <f>""</f>
        <v/>
      </c>
      <c r="T58" s="5" t="str">
        <f>""</f>
        <v/>
      </c>
      <c r="U58" s="5" t="str">
        <f>""</f>
        <v/>
      </c>
      <c r="V58" s="5" t="str">
        <f t="shared" si="89"/>
        <v>нет</v>
      </c>
      <c r="W58" s="5" t="str">
        <f>""</f>
        <v/>
      </c>
      <c r="X58" s="5" t="str">
        <f>""</f>
        <v/>
      </c>
      <c r="Y58" s="9" t="str">
        <f>""</f>
        <v/>
      </c>
      <c r="Z58" s="5" t="str">
        <f>"1974"</f>
        <v>1974</v>
      </c>
      <c r="AA58" s="5" t="str">
        <f>"37,00"</f>
        <v>37,00</v>
      </c>
      <c r="AB58" s="5" t="str">
        <f>"2024"</f>
        <v>2024</v>
      </c>
      <c r="AC58" s="5" t="str">
        <f t="shared" si="90"/>
        <v>нет</v>
      </c>
      <c r="AD58" s="5" t="str">
        <f>""</f>
        <v/>
      </c>
      <c r="AE58" s="5" t="str">
        <f>""</f>
        <v/>
      </c>
      <c r="AF58" s="5" t="str">
        <f>""</f>
        <v/>
      </c>
      <c r="AG58" s="5" t="str">
        <f t="shared" si="91"/>
        <v>нет</v>
      </c>
      <c r="AH58" s="5" t="str">
        <f>""</f>
        <v/>
      </c>
      <c r="AI58" s="5" t="str">
        <f>""</f>
        <v/>
      </c>
      <c r="AJ58" s="5" t="str">
        <f>""</f>
        <v/>
      </c>
      <c r="AK58" s="8" t="str">
        <f>"1974"</f>
        <v>1974</v>
      </c>
      <c r="AL58" s="5" t="str">
        <f>"36,00"</f>
        <v>36,00</v>
      </c>
      <c r="AM58" s="5" t="str">
        <f>"2026"</f>
        <v>2026</v>
      </c>
      <c r="AN58" s="5" t="str">
        <f t="shared" si="92"/>
        <v>нет</v>
      </c>
      <c r="AO58" s="5" t="str">
        <f>""</f>
        <v/>
      </c>
      <c r="AP58" s="5" t="str">
        <f>""</f>
        <v/>
      </c>
      <c r="AQ58" s="5" t="str">
        <f>""</f>
        <v/>
      </c>
      <c r="AR58" s="5" t="str">
        <f t="shared" si="93"/>
        <v>нет</v>
      </c>
      <c r="AS58" s="5" t="str">
        <f>""</f>
        <v/>
      </c>
      <c r="AT58" s="5" t="str">
        <f>""</f>
        <v/>
      </c>
      <c r="AU58" s="5" t="str">
        <f>""</f>
        <v/>
      </c>
      <c r="AV58" s="5" t="str">
        <f>"1974"</f>
        <v>1974</v>
      </c>
      <c r="AW58" s="5" t="str">
        <f>"36,00"</f>
        <v>36,00</v>
      </c>
      <c r="AX58" s="5" t="str">
        <f>"2023"</f>
        <v>2023</v>
      </c>
      <c r="AY58" s="5" t="str">
        <f>"нет"</f>
        <v>нет</v>
      </c>
      <c r="AZ58" s="5" t="str">
        <f t="shared" ref="AZ58:BB62" si="96">"х"</f>
        <v>х</v>
      </c>
      <c r="BA58" s="5" t="str">
        <f t="shared" si="96"/>
        <v>х</v>
      </c>
      <c r="BB58" s="5" t="str">
        <f t="shared" si="96"/>
        <v>х</v>
      </c>
      <c r="BC58" s="5" t="str">
        <f>"нет"</f>
        <v>нет</v>
      </c>
      <c r="BD58" s="5" t="str">
        <f t="shared" ref="BD58:BF62" si="97">"х"</f>
        <v>х</v>
      </c>
      <c r="BE58" s="5" t="str">
        <f t="shared" si="97"/>
        <v>х</v>
      </c>
      <c r="BF58" s="5" t="str">
        <f t="shared" si="97"/>
        <v>х</v>
      </c>
      <c r="BG58" s="5" t="str">
        <f>"1974"</f>
        <v>1974</v>
      </c>
      <c r="BH58" s="5" t="str">
        <f>"31,00"</f>
        <v>31,00</v>
      </c>
      <c r="BI58" s="5" t="str">
        <f>"2021"</f>
        <v>2021</v>
      </c>
      <c r="BJ58" s="5" t="str">
        <f t="shared" si="94"/>
        <v>нет</v>
      </c>
      <c r="BK58" s="5" t="str">
        <f>""</f>
        <v/>
      </c>
      <c r="BL58" s="5" t="str">
        <f>""</f>
        <v/>
      </c>
      <c r="BM58" s="5" t="str">
        <f>""</f>
        <v/>
      </c>
      <c r="BN58" s="5" t="str">
        <f t="shared" si="95"/>
        <v>нет</v>
      </c>
      <c r="BO58" s="5" t="str">
        <f>""</f>
        <v/>
      </c>
      <c r="BP58" s="5" t="str">
        <f>""</f>
        <v/>
      </c>
      <c r="BQ58" s="5" t="str">
        <f>""</f>
        <v/>
      </c>
      <c r="BR58" s="5" t="str">
        <f>"1974"</f>
        <v>1974</v>
      </c>
      <c r="BS58" s="5" t="str">
        <f>"46,00"</f>
        <v>46,00</v>
      </c>
      <c r="BT58" s="5" t="str">
        <f>"2025"</f>
        <v>2025</v>
      </c>
      <c r="BU58" s="5" t="str">
        <f t="shared" si="10"/>
        <v>нет</v>
      </c>
      <c r="BV58" s="5" t="str">
        <f t="shared" si="84"/>
        <v>x</v>
      </c>
      <c r="BW58" s="5" t="str">
        <f t="shared" si="84"/>
        <v>x</v>
      </c>
      <c r="BX58" s="5" t="str">
        <f t="shared" si="84"/>
        <v>x</v>
      </c>
      <c r="BY58" s="5" t="str">
        <f t="shared" si="73"/>
        <v>нет</v>
      </c>
      <c r="BZ58" s="5" t="str">
        <f>"1974"</f>
        <v>1974</v>
      </c>
      <c r="CA58" s="5" t="str">
        <f>"36,00"</f>
        <v>36,00</v>
      </c>
      <c r="CB58" s="5" t="str">
        <f>"2020"</f>
        <v>2020</v>
      </c>
      <c r="CC58" s="5" t="str">
        <f>"1974"</f>
        <v>1974</v>
      </c>
      <c r="CD58" s="5" t="str">
        <f>"48,00"</f>
        <v>48,00</v>
      </c>
      <c r="CE58" s="5" t="str">
        <f>"2016"</f>
        <v>2016</v>
      </c>
      <c r="CF58" s="5" t="str">
        <f>"1974"</f>
        <v>1974</v>
      </c>
      <c r="CG58" s="5" t="str">
        <f>"35,00"</f>
        <v>35,00</v>
      </c>
      <c r="CH58" s="5" t="str">
        <f>"2025"</f>
        <v>2025</v>
      </c>
      <c r="CI58" s="5" t="str">
        <f>"36,00"</f>
        <v>36,00</v>
      </c>
      <c r="CJ58" s="5" t="str">
        <f>"2040"</f>
        <v>2040</v>
      </c>
    </row>
    <row r="59" spans="1:88" ht="11.25" customHeight="1">
      <c r="A59" s="3" t="str">
        <f>"1.46"</f>
        <v>1.46</v>
      </c>
      <c r="B59" s="4" t="str">
        <f>"г. Грязовец, ул. Володарского, д.76"</f>
        <v>г. Грязовец, ул. Володарского, д.76</v>
      </c>
      <c r="C59" s="7" t="str">
        <f>"1973"</f>
        <v>1973</v>
      </c>
      <c r="D59" s="5" t="str">
        <f>"1973"</f>
        <v>1973</v>
      </c>
      <c r="E59" s="5" t="str">
        <f>"35,00"</f>
        <v>35,00</v>
      </c>
      <c r="F59" s="5" t="str">
        <f>"2021"</f>
        <v>2021</v>
      </c>
      <c r="G59" s="5" t="str">
        <f t="shared" si="83"/>
        <v>да</v>
      </c>
      <c r="H59" s="5" t="str">
        <f>""</f>
        <v/>
      </c>
      <c r="I59" s="5" t="str">
        <f>"25,00"</f>
        <v>25,00</v>
      </c>
      <c r="J59" s="5" t="str">
        <f>"2021"</f>
        <v>2021</v>
      </c>
      <c r="K59" s="5" t="str">
        <f t="shared" si="85"/>
        <v>нет</v>
      </c>
      <c r="L59" s="5" t="str">
        <f>""</f>
        <v/>
      </c>
      <c r="M59" s="5" t="str">
        <f>""</f>
        <v/>
      </c>
      <c r="N59" s="5" t="str">
        <f>""</f>
        <v/>
      </c>
      <c r="O59" s="8" t="str">
        <f>"1973"</f>
        <v>1973</v>
      </c>
      <c r="P59" s="5" t="str">
        <f>"34,00"</f>
        <v>34,00</v>
      </c>
      <c r="Q59" s="5" t="str">
        <f>"2022"</f>
        <v>2022</v>
      </c>
      <c r="R59" s="5" t="str">
        <f t="shared" si="88"/>
        <v>нет</v>
      </c>
      <c r="S59" s="5" t="str">
        <f>""</f>
        <v/>
      </c>
      <c r="T59" s="5" t="str">
        <f>""</f>
        <v/>
      </c>
      <c r="U59" s="5" t="str">
        <f>""</f>
        <v/>
      </c>
      <c r="V59" s="5" t="str">
        <f t="shared" si="89"/>
        <v>нет</v>
      </c>
      <c r="W59" s="5" t="str">
        <f>""</f>
        <v/>
      </c>
      <c r="X59" s="5" t="str">
        <f>""</f>
        <v/>
      </c>
      <c r="Y59" s="9" t="str">
        <f>""</f>
        <v/>
      </c>
      <c r="Z59" s="5" t="str">
        <f>"1973"</f>
        <v>1973</v>
      </c>
      <c r="AA59" s="5" t="str">
        <f>"33,00"</f>
        <v>33,00</v>
      </c>
      <c r="AB59" s="5" t="str">
        <f>"2023"</f>
        <v>2023</v>
      </c>
      <c r="AC59" s="5" t="str">
        <f t="shared" si="90"/>
        <v>нет</v>
      </c>
      <c r="AD59" s="5" t="str">
        <f>""</f>
        <v/>
      </c>
      <c r="AE59" s="5" t="str">
        <f>""</f>
        <v/>
      </c>
      <c r="AF59" s="5" t="str">
        <f>""</f>
        <v/>
      </c>
      <c r="AG59" s="5" t="str">
        <f t="shared" si="91"/>
        <v>нет</v>
      </c>
      <c r="AH59" s="5" t="str">
        <f>""</f>
        <v/>
      </c>
      <c r="AI59" s="5" t="str">
        <f>""</f>
        <v/>
      </c>
      <c r="AJ59" s="5" t="str">
        <f>""</f>
        <v/>
      </c>
      <c r="AK59" s="8" t="str">
        <f>"1973"</f>
        <v>1973</v>
      </c>
      <c r="AL59" s="5" t="str">
        <f>"36,00"</f>
        <v>36,00</v>
      </c>
      <c r="AM59" s="5" t="str">
        <f>"2020"</f>
        <v>2020</v>
      </c>
      <c r="AN59" s="5" t="str">
        <f t="shared" si="92"/>
        <v>нет</v>
      </c>
      <c r="AO59" s="5" t="str">
        <f>""</f>
        <v/>
      </c>
      <c r="AP59" s="5" t="str">
        <f>""</f>
        <v/>
      </c>
      <c r="AQ59" s="5" t="str">
        <f>""</f>
        <v/>
      </c>
      <c r="AR59" s="5" t="str">
        <f t="shared" si="93"/>
        <v>нет</v>
      </c>
      <c r="AS59" s="5" t="str">
        <f>""</f>
        <v/>
      </c>
      <c r="AT59" s="5" t="str">
        <f>""</f>
        <v/>
      </c>
      <c r="AU59" s="5" t="str">
        <f>""</f>
        <v/>
      </c>
      <c r="AV59" s="5" t="str">
        <f>"1973"</f>
        <v>1973</v>
      </c>
      <c r="AW59" s="5" t="str">
        <f>"36,00"</f>
        <v>36,00</v>
      </c>
      <c r="AX59" s="5" t="str">
        <f>"2021"</f>
        <v>2021</v>
      </c>
      <c r="AY59" s="5" t="str">
        <f>"х"</f>
        <v>х</v>
      </c>
      <c r="AZ59" s="5" t="str">
        <f t="shared" si="96"/>
        <v>х</v>
      </c>
      <c r="BA59" s="5" t="str">
        <f t="shared" si="96"/>
        <v>х</v>
      </c>
      <c r="BB59" s="5" t="str">
        <f t="shared" si="96"/>
        <v>х</v>
      </c>
      <c r="BC59" s="5" t="str">
        <f>"х"</f>
        <v>х</v>
      </c>
      <c r="BD59" s="5" t="str">
        <f t="shared" si="97"/>
        <v>х</v>
      </c>
      <c r="BE59" s="5" t="str">
        <f t="shared" si="97"/>
        <v>х</v>
      </c>
      <c r="BF59" s="5" t="str">
        <f t="shared" si="97"/>
        <v>х</v>
      </c>
      <c r="BG59" s="5" t="str">
        <f>"1973"</f>
        <v>1973</v>
      </c>
      <c r="BH59" s="5" t="str">
        <f>"27,00"</f>
        <v>27,00</v>
      </c>
      <c r="BI59" s="5" t="str">
        <f>"2029"</f>
        <v>2029</v>
      </c>
      <c r="BJ59" s="5" t="str">
        <f t="shared" si="94"/>
        <v>нет</v>
      </c>
      <c r="BK59" s="5" t="str">
        <f>""</f>
        <v/>
      </c>
      <c r="BL59" s="5" t="str">
        <f>""</f>
        <v/>
      </c>
      <c r="BM59" s="5" t="str">
        <f>""</f>
        <v/>
      </c>
      <c r="BN59" s="5" t="str">
        <f t="shared" si="95"/>
        <v>нет</v>
      </c>
      <c r="BO59" s="5" t="str">
        <f>""</f>
        <v/>
      </c>
      <c r="BP59" s="5" t="str">
        <f>""</f>
        <v/>
      </c>
      <c r="BQ59" s="5" t="str">
        <f>""</f>
        <v/>
      </c>
      <c r="BR59" s="5" t="str">
        <f>"1973"</f>
        <v>1973</v>
      </c>
      <c r="BS59" s="5" t="str">
        <f>"46,00"</f>
        <v>46,00</v>
      </c>
      <c r="BT59" s="5" t="str">
        <f>"2020"</f>
        <v>2020</v>
      </c>
      <c r="BU59" s="5" t="str">
        <f t="shared" si="10"/>
        <v>нет</v>
      </c>
      <c r="BV59" s="5" t="str">
        <f t="shared" si="84"/>
        <v>x</v>
      </c>
      <c r="BW59" s="5" t="str">
        <f t="shared" si="84"/>
        <v>x</v>
      </c>
      <c r="BX59" s="5" t="str">
        <f t="shared" si="84"/>
        <v>x</v>
      </c>
      <c r="BY59" s="5" t="str">
        <f t="shared" si="73"/>
        <v>нет</v>
      </c>
      <c r="BZ59" s="5" t="str">
        <f>"1973"</f>
        <v>1973</v>
      </c>
      <c r="CA59" s="5" t="str">
        <f>"36,00"</f>
        <v>36,00</v>
      </c>
      <c r="CB59" s="5" t="str">
        <f>"2023"</f>
        <v>2023</v>
      </c>
      <c r="CC59" s="5" t="str">
        <f>"1973"</f>
        <v>1973</v>
      </c>
      <c r="CD59" s="5" t="str">
        <f>"46,00"</f>
        <v>46,00</v>
      </c>
      <c r="CE59" s="5" t="str">
        <f>"2016"</f>
        <v>2016</v>
      </c>
      <c r="CF59" s="5" t="str">
        <f>"1973"</f>
        <v>1973</v>
      </c>
      <c r="CG59" s="5" t="str">
        <f>"31,00"</f>
        <v>31,00</v>
      </c>
      <c r="CH59" s="5" t="str">
        <f>"2020"</f>
        <v>2020</v>
      </c>
      <c r="CI59" s="5" t="str">
        <f>"35,00"</f>
        <v>35,00</v>
      </c>
      <c r="CJ59" s="5" t="str">
        <f>"2041"</f>
        <v>2041</v>
      </c>
    </row>
    <row r="60" spans="1:88" ht="11.25" customHeight="1">
      <c r="A60" s="3" t="str">
        <f>"1.47"</f>
        <v>1.47</v>
      </c>
      <c r="B60" s="4" t="str">
        <f>"г. Грязовец, ул. Володарского, д.81"</f>
        <v>г. Грязовец, ул. Володарского, д.81</v>
      </c>
      <c r="C60" s="7" t="str">
        <f>"1958"</f>
        <v>1958</v>
      </c>
      <c r="D60" s="5" t="str">
        <f>"1984"</f>
        <v>1984</v>
      </c>
      <c r="E60" s="5" t="str">
        <f>"30,00"</f>
        <v>30,00</v>
      </c>
      <c r="F60" s="5" t="str">
        <f>"2027"</f>
        <v>2027</v>
      </c>
      <c r="G60" s="5" t="str">
        <f t="shared" si="83"/>
        <v>да</v>
      </c>
      <c r="H60" s="5" t="str">
        <f>""</f>
        <v/>
      </c>
      <c r="I60" s="5" t="str">
        <f>"30,00"</f>
        <v>30,00</v>
      </c>
      <c r="J60" s="5" t="str">
        <f>"2027"</f>
        <v>2027</v>
      </c>
      <c r="K60" s="5" t="str">
        <f t="shared" si="85"/>
        <v>нет</v>
      </c>
      <c r="L60" s="5" t="str">
        <f>""</f>
        <v/>
      </c>
      <c r="M60" s="5" t="str">
        <f>""</f>
        <v/>
      </c>
      <c r="N60" s="5" t="str">
        <f>""</f>
        <v/>
      </c>
      <c r="O60" s="8" t="str">
        <f>"1984"</f>
        <v>1984</v>
      </c>
      <c r="P60" s="5" t="str">
        <f>"30,00"</f>
        <v>30,00</v>
      </c>
      <c r="Q60" s="5" t="str">
        <f>"2028"</f>
        <v>2028</v>
      </c>
      <c r="R60" s="5" t="str">
        <f t="shared" si="88"/>
        <v>нет</v>
      </c>
      <c r="S60" s="5" t="str">
        <f>""</f>
        <v/>
      </c>
      <c r="T60" s="5" t="str">
        <f>""</f>
        <v/>
      </c>
      <c r="U60" s="5" t="str">
        <f>""</f>
        <v/>
      </c>
      <c r="V60" s="5" t="str">
        <f t="shared" si="89"/>
        <v>нет</v>
      </c>
      <c r="W60" s="5" t="str">
        <f>""</f>
        <v/>
      </c>
      <c r="X60" s="5" t="str">
        <f>""</f>
        <v/>
      </c>
      <c r="Y60" s="9" t="str">
        <f>""</f>
        <v/>
      </c>
      <c r="Z60" s="5" t="str">
        <f>"1984"</f>
        <v>1984</v>
      </c>
      <c r="AA60" s="5" t="str">
        <f>"32,00"</f>
        <v>32,00</v>
      </c>
      <c r="AB60" s="5" t="str">
        <f>"2026"</f>
        <v>2026</v>
      </c>
      <c r="AC60" s="5" t="str">
        <f t="shared" si="90"/>
        <v>нет</v>
      </c>
      <c r="AD60" s="5" t="str">
        <f>""</f>
        <v/>
      </c>
      <c r="AE60" s="5" t="str">
        <f>""</f>
        <v/>
      </c>
      <c r="AF60" s="5" t="str">
        <f>""</f>
        <v/>
      </c>
      <c r="AG60" s="5" t="str">
        <f t="shared" si="91"/>
        <v>нет</v>
      </c>
      <c r="AH60" s="5" t="str">
        <f>""</f>
        <v/>
      </c>
      <c r="AI60" s="5" t="str">
        <f>""</f>
        <v/>
      </c>
      <c r="AJ60" s="5" t="str">
        <f>""</f>
        <v/>
      </c>
      <c r="AK60" s="8" t="str">
        <f>"1984"</f>
        <v>1984</v>
      </c>
      <c r="AL60" s="5" t="str">
        <f>"32,00"</f>
        <v>32,00</v>
      </c>
      <c r="AM60" s="5" t="str">
        <f>"2028"</f>
        <v>2028</v>
      </c>
      <c r="AN60" s="5" t="str">
        <f t="shared" si="92"/>
        <v>нет</v>
      </c>
      <c r="AO60" s="5" t="str">
        <f>""</f>
        <v/>
      </c>
      <c r="AP60" s="5" t="str">
        <f>""</f>
        <v/>
      </c>
      <c r="AQ60" s="5" t="str">
        <f>""</f>
        <v/>
      </c>
      <c r="AR60" s="5" t="str">
        <f t="shared" si="93"/>
        <v>нет</v>
      </c>
      <c r="AS60" s="5" t="str">
        <f>""</f>
        <v/>
      </c>
      <c r="AT60" s="5" t="str">
        <f>""</f>
        <v/>
      </c>
      <c r="AU60" s="5" t="str">
        <f>""</f>
        <v/>
      </c>
      <c r="AV60" s="5" t="str">
        <f>"1958"</f>
        <v>1958</v>
      </c>
      <c r="AW60" s="5" t="str">
        <f>"30,00"</f>
        <v>30,00</v>
      </c>
      <c r="AX60" s="5" t="str">
        <f>"2030"</f>
        <v>2030</v>
      </c>
      <c r="AY60" s="5" t="str">
        <f t="shared" ref="AY60:AY65" si="98">"нет"</f>
        <v>нет</v>
      </c>
      <c r="AZ60" s="5" t="str">
        <f t="shared" si="96"/>
        <v>х</v>
      </c>
      <c r="BA60" s="5" t="str">
        <f t="shared" si="96"/>
        <v>х</v>
      </c>
      <c r="BB60" s="5" t="str">
        <f t="shared" si="96"/>
        <v>х</v>
      </c>
      <c r="BC60" s="5" t="str">
        <f t="shared" ref="BC60:BC65" si="99">"нет"</f>
        <v>нет</v>
      </c>
      <c r="BD60" s="5" t="str">
        <f t="shared" si="97"/>
        <v>х</v>
      </c>
      <c r="BE60" s="5" t="str">
        <f t="shared" si="97"/>
        <v>х</v>
      </c>
      <c r="BF60" s="5" t="str">
        <f t="shared" si="97"/>
        <v>х</v>
      </c>
      <c r="BG60" s="5" t="str">
        <f>"1958"</f>
        <v>1958</v>
      </c>
      <c r="BH60" s="5" t="str">
        <f>"30,00"</f>
        <v>30,00</v>
      </c>
      <c r="BI60" s="5" t="str">
        <f>"2027"</f>
        <v>2027</v>
      </c>
      <c r="BJ60" s="5" t="str">
        <f t="shared" si="94"/>
        <v>нет</v>
      </c>
      <c r="BK60" s="5" t="str">
        <f>""</f>
        <v/>
      </c>
      <c r="BL60" s="5" t="str">
        <f>""</f>
        <v/>
      </c>
      <c r="BM60" s="5" t="str">
        <f>""</f>
        <v/>
      </c>
      <c r="BN60" s="5" t="str">
        <f t="shared" si="95"/>
        <v>нет</v>
      </c>
      <c r="BO60" s="5" t="str">
        <f>""</f>
        <v/>
      </c>
      <c r="BP60" s="5" t="str">
        <f>""</f>
        <v/>
      </c>
      <c r="BQ60" s="5" t="str">
        <f>""</f>
        <v/>
      </c>
      <c r="BR60" s="5" t="str">
        <f>"1958"</f>
        <v>1958</v>
      </c>
      <c r="BS60" s="5" t="str">
        <f>"30,00"</f>
        <v>30,00</v>
      </c>
      <c r="BT60" s="5" t="str">
        <f>"2030"</f>
        <v>2030</v>
      </c>
      <c r="BU60" s="5" t="str">
        <f t="shared" si="10"/>
        <v>нет</v>
      </c>
      <c r="BV60" s="5" t="str">
        <f t="shared" si="84"/>
        <v>x</v>
      </c>
      <c r="BW60" s="5" t="str">
        <f t="shared" si="84"/>
        <v>x</v>
      </c>
      <c r="BX60" s="5" t="str">
        <f t="shared" si="84"/>
        <v>x</v>
      </c>
      <c r="BY60" s="5" t="str">
        <f t="shared" si="73"/>
        <v>нет</v>
      </c>
      <c r="BZ60" s="5" t="str">
        <f>"1958"</f>
        <v>1958</v>
      </c>
      <c r="CA60" s="5" t="str">
        <f>"32,00"</f>
        <v>32,00</v>
      </c>
      <c r="CB60" s="5" t="str">
        <f>"2028"</f>
        <v>2028</v>
      </c>
      <c r="CC60" s="5" t="str">
        <f>"1958"</f>
        <v>1958</v>
      </c>
      <c r="CD60" s="5" t="str">
        <f>"30,00"</f>
        <v>30,00</v>
      </c>
      <c r="CE60" s="5" t="str">
        <f>"2025"</f>
        <v>2025</v>
      </c>
      <c r="CF60" s="5" t="str">
        <f>"1958"</f>
        <v>1958</v>
      </c>
      <c r="CG60" s="5" t="str">
        <f>"43,00"</f>
        <v>43,00</v>
      </c>
      <c r="CH60" s="5" t="str">
        <f>"2024"</f>
        <v>2024</v>
      </c>
      <c r="CI60" s="5" t="str">
        <f>"34,00"</f>
        <v>34,00</v>
      </c>
      <c r="CJ60" s="5" t="str">
        <f>"2030"</f>
        <v>2030</v>
      </c>
    </row>
    <row r="61" spans="1:88" ht="11.25" customHeight="1">
      <c r="A61" s="3" t="str">
        <f>"1.48"</f>
        <v>1.48</v>
      </c>
      <c r="B61" s="4" t="str">
        <f>"г. Грязовец, ул. Володарского, д.83"</f>
        <v>г. Грязовец, ул. Володарского, д.83</v>
      </c>
      <c r="C61" s="7" t="str">
        <f>"1958"</f>
        <v>1958</v>
      </c>
      <c r="D61" s="5" t="str">
        <f>"1984"</f>
        <v>1984</v>
      </c>
      <c r="E61" s="5" t="str">
        <f>"30,00"</f>
        <v>30,00</v>
      </c>
      <c r="F61" s="5" t="str">
        <f>"2026"</f>
        <v>2026</v>
      </c>
      <c r="G61" s="5" t="str">
        <f t="shared" si="83"/>
        <v>да</v>
      </c>
      <c r="H61" s="5" t="str">
        <f>""</f>
        <v/>
      </c>
      <c r="I61" s="5" t="str">
        <f>"25,00"</f>
        <v>25,00</v>
      </c>
      <c r="J61" s="5" t="str">
        <f>"2026"</f>
        <v>2026</v>
      </c>
      <c r="K61" s="5" t="str">
        <f t="shared" si="85"/>
        <v>нет</v>
      </c>
      <c r="L61" s="5" t="str">
        <f>""</f>
        <v/>
      </c>
      <c r="M61" s="5" t="str">
        <f>""</f>
        <v/>
      </c>
      <c r="N61" s="5" t="str">
        <f>""</f>
        <v/>
      </c>
      <c r="O61" s="8" t="str">
        <f>"1984"</f>
        <v>1984</v>
      </c>
      <c r="P61" s="5" t="str">
        <f>"30,00"</f>
        <v>30,00</v>
      </c>
      <c r="Q61" s="5" t="str">
        <f>"2025"</f>
        <v>2025</v>
      </c>
      <c r="R61" s="5" t="str">
        <f t="shared" si="88"/>
        <v>нет</v>
      </c>
      <c r="S61" s="5" t="str">
        <f>""</f>
        <v/>
      </c>
      <c r="T61" s="5" t="str">
        <f>""</f>
        <v/>
      </c>
      <c r="U61" s="5" t="str">
        <f>""</f>
        <v/>
      </c>
      <c r="V61" s="5" t="str">
        <f t="shared" si="89"/>
        <v>нет</v>
      </c>
      <c r="W61" s="5" t="str">
        <f>""</f>
        <v/>
      </c>
      <c r="X61" s="5" t="str">
        <f>""</f>
        <v/>
      </c>
      <c r="Y61" s="9" t="str">
        <f>""</f>
        <v/>
      </c>
      <c r="Z61" s="5" t="str">
        <f>"1984"</f>
        <v>1984</v>
      </c>
      <c r="AA61" s="5" t="str">
        <f>"34,00"</f>
        <v>34,00</v>
      </c>
      <c r="AB61" s="5" t="str">
        <f>"2023"</f>
        <v>2023</v>
      </c>
      <c r="AC61" s="5" t="str">
        <f t="shared" si="90"/>
        <v>нет</v>
      </c>
      <c r="AD61" s="5" t="str">
        <f>""</f>
        <v/>
      </c>
      <c r="AE61" s="5" t="str">
        <f>""</f>
        <v/>
      </c>
      <c r="AF61" s="5" t="str">
        <f>""</f>
        <v/>
      </c>
      <c r="AG61" s="5" t="str">
        <f t="shared" si="91"/>
        <v>нет</v>
      </c>
      <c r="AH61" s="5" t="str">
        <f>""</f>
        <v/>
      </c>
      <c r="AI61" s="5" t="str">
        <f>""</f>
        <v/>
      </c>
      <c r="AJ61" s="5" t="str">
        <f>""</f>
        <v/>
      </c>
      <c r="AK61" s="8" t="str">
        <f>"1984"</f>
        <v>1984</v>
      </c>
      <c r="AL61" s="5" t="str">
        <f>"36,00"</f>
        <v>36,00</v>
      </c>
      <c r="AM61" s="5" t="str">
        <f>"2025"</f>
        <v>2025</v>
      </c>
      <c r="AN61" s="5" t="str">
        <f t="shared" si="92"/>
        <v>нет</v>
      </c>
      <c r="AO61" s="5" t="str">
        <f>""</f>
        <v/>
      </c>
      <c r="AP61" s="5" t="str">
        <f>""</f>
        <v/>
      </c>
      <c r="AQ61" s="5" t="str">
        <f>""</f>
        <v/>
      </c>
      <c r="AR61" s="5" t="str">
        <f t="shared" si="93"/>
        <v>нет</v>
      </c>
      <c r="AS61" s="5" t="str">
        <f>""</f>
        <v/>
      </c>
      <c r="AT61" s="5" t="str">
        <f>""</f>
        <v/>
      </c>
      <c r="AU61" s="5" t="str">
        <f>""</f>
        <v/>
      </c>
      <c r="AV61" s="5" t="str">
        <f>"1958"</f>
        <v>1958</v>
      </c>
      <c r="AW61" s="5" t="str">
        <f>"29,00"</f>
        <v>29,00</v>
      </c>
      <c r="AX61" s="5" t="str">
        <f>"2020"</f>
        <v>2020</v>
      </c>
      <c r="AY61" s="5" t="str">
        <f t="shared" si="98"/>
        <v>нет</v>
      </c>
      <c r="AZ61" s="5" t="str">
        <f t="shared" si="96"/>
        <v>х</v>
      </c>
      <c r="BA61" s="5" t="str">
        <f t="shared" si="96"/>
        <v>х</v>
      </c>
      <c r="BB61" s="5" t="str">
        <f t="shared" si="96"/>
        <v>х</v>
      </c>
      <c r="BC61" s="5" t="str">
        <f t="shared" si="99"/>
        <v>нет</v>
      </c>
      <c r="BD61" s="5" t="str">
        <f t="shared" si="97"/>
        <v>х</v>
      </c>
      <c r="BE61" s="5" t="str">
        <f t="shared" si="97"/>
        <v>х</v>
      </c>
      <c r="BF61" s="5" t="str">
        <f t="shared" si="97"/>
        <v>х</v>
      </c>
      <c r="BG61" s="5" t="str">
        <f>"1958"</f>
        <v>1958</v>
      </c>
      <c r="BH61" s="5" t="str">
        <f>"32,00"</f>
        <v>32,00</v>
      </c>
      <c r="BI61" s="5" t="str">
        <f>"2027"</f>
        <v>2027</v>
      </c>
      <c r="BJ61" s="5" t="str">
        <f t="shared" si="94"/>
        <v>нет</v>
      </c>
      <c r="BK61" s="5" t="str">
        <f>""</f>
        <v/>
      </c>
      <c r="BL61" s="5" t="str">
        <f>""</f>
        <v/>
      </c>
      <c r="BM61" s="5" t="str">
        <f>""</f>
        <v/>
      </c>
      <c r="BN61" s="5" t="str">
        <f t="shared" si="95"/>
        <v>нет</v>
      </c>
      <c r="BO61" s="5" t="str">
        <f>""</f>
        <v/>
      </c>
      <c r="BP61" s="5" t="str">
        <f>""</f>
        <v/>
      </c>
      <c r="BQ61" s="5" t="str">
        <f>""</f>
        <v/>
      </c>
      <c r="BR61" s="5" t="str">
        <f>"1958"</f>
        <v>1958</v>
      </c>
      <c r="BS61" s="5" t="str">
        <f>"40,00"</f>
        <v>40,00</v>
      </c>
      <c r="BT61" s="5" t="str">
        <f>"2030"</f>
        <v>2030</v>
      </c>
      <c r="BU61" s="5" t="str">
        <f t="shared" si="10"/>
        <v>нет</v>
      </c>
      <c r="BV61" s="5" t="str">
        <f t="shared" si="84"/>
        <v>x</v>
      </c>
      <c r="BW61" s="5" t="str">
        <f t="shared" si="84"/>
        <v>x</v>
      </c>
      <c r="BX61" s="5" t="str">
        <f t="shared" si="84"/>
        <v>x</v>
      </c>
      <c r="BY61" s="5" t="str">
        <f t="shared" si="73"/>
        <v>нет</v>
      </c>
      <c r="BZ61" s="5" t="str">
        <f>"1958"</f>
        <v>1958</v>
      </c>
      <c r="CA61" s="5" t="str">
        <f>"38,00"</f>
        <v>38,00</v>
      </c>
      <c r="CB61" s="5" t="str">
        <f>"2023"</f>
        <v>2023</v>
      </c>
      <c r="CC61" s="5" t="str">
        <f>"1958"</f>
        <v>1958</v>
      </c>
      <c r="CD61" s="5" t="str">
        <f>"36,00"</f>
        <v>36,00</v>
      </c>
      <c r="CE61" s="5" t="str">
        <f>"2026"</f>
        <v>2026</v>
      </c>
      <c r="CF61" s="5" t="str">
        <f>"1958"</f>
        <v>1958</v>
      </c>
      <c r="CG61" s="5" t="str">
        <f>"45,00"</f>
        <v>45,00</v>
      </c>
      <c r="CH61" s="5" t="str">
        <f>"2023"</f>
        <v>2023</v>
      </c>
      <c r="CI61" s="5" t="str">
        <f>"29,00"</f>
        <v>29,00</v>
      </c>
      <c r="CJ61" s="5" t="str">
        <f>"2043"</f>
        <v>2043</v>
      </c>
    </row>
    <row r="62" spans="1:88" ht="11.25" customHeight="1">
      <c r="A62" s="3" t="str">
        <f>"1.49"</f>
        <v>1.49</v>
      </c>
      <c r="B62" s="4" t="str">
        <f>"г. Грязовец, ул. Гагарина, д.10"</f>
        <v>г. Грязовец, ул. Гагарина, д.10</v>
      </c>
      <c r="C62" s="7" t="str">
        <f>"1972"</f>
        <v>1972</v>
      </c>
      <c r="D62" s="5" t="str">
        <f>"1972"</f>
        <v>1972</v>
      </c>
      <c r="E62" s="5" t="str">
        <f>"20,00"</f>
        <v>20,00</v>
      </c>
      <c r="F62" s="5" t="str">
        <f>"2016"</f>
        <v>2016</v>
      </c>
      <c r="G62" s="5" t="str">
        <f>"нет"</f>
        <v>нет</v>
      </c>
      <c r="H62" s="5" t="str">
        <f>""</f>
        <v/>
      </c>
      <c r="I62" s="5" t="str">
        <f>""</f>
        <v/>
      </c>
      <c r="J62" s="5" t="str">
        <f>""</f>
        <v/>
      </c>
      <c r="K62" s="5" t="str">
        <f t="shared" si="85"/>
        <v>нет</v>
      </c>
      <c r="L62" s="5" t="str">
        <f>""</f>
        <v/>
      </c>
      <c r="M62" s="5" t="str">
        <f>""</f>
        <v/>
      </c>
      <c r="N62" s="5" t="str">
        <f>""</f>
        <v/>
      </c>
      <c r="O62" s="8" t="str">
        <f>"1972"</f>
        <v>1972</v>
      </c>
      <c r="P62" s="5" t="str">
        <f>"20,00"</f>
        <v>20,00</v>
      </c>
      <c r="Q62" s="5" t="str">
        <f>"2026"</f>
        <v>2026</v>
      </c>
      <c r="R62" s="5" t="str">
        <f t="shared" si="88"/>
        <v>нет</v>
      </c>
      <c r="S62" s="5" t="str">
        <f>""</f>
        <v/>
      </c>
      <c r="T62" s="5" t="str">
        <f>""</f>
        <v/>
      </c>
      <c r="U62" s="5" t="str">
        <f>""</f>
        <v/>
      </c>
      <c r="V62" s="5" t="str">
        <f t="shared" si="89"/>
        <v>нет</v>
      </c>
      <c r="W62" s="5" t="str">
        <f>""</f>
        <v/>
      </c>
      <c r="X62" s="5" t="str">
        <f>""</f>
        <v/>
      </c>
      <c r="Y62" s="9" t="str">
        <f>""</f>
        <v/>
      </c>
      <c r="Z62" s="5" t="str">
        <f>"1972"</f>
        <v>1972</v>
      </c>
      <c r="AA62" s="5" t="str">
        <f>"20,00"</f>
        <v>20,00</v>
      </c>
      <c r="AB62" s="5" t="str">
        <f>"2024"</f>
        <v>2024</v>
      </c>
      <c r="AC62" s="5" t="str">
        <f t="shared" si="90"/>
        <v>нет</v>
      </c>
      <c r="AD62" s="5" t="str">
        <f>""</f>
        <v/>
      </c>
      <c r="AE62" s="5" t="str">
        <f>""</f>
        <v/>
      </c>
      <c r="AF62" s="5" t="str">
        <f>""</f>
        <v/>
      </c>
      <c r="AG62" s="5" t="str">
        <f t="shared" si="91"/>
        <v>нет</v>
      </c>
      <c r="AH62" s="5" t="str">
        <f>""</f>
        <v/>
      </c>
      <c r="AI62" s="5" t="str">
        <f>""</f>
        <v/>
      </c>
      <c r="AJ62" s="5" t="str">
        <f>""</f>
        <v/>
      </c>
      <c r="AK62" s="8" t="str">
        <f>"1972"</f>
        <v>1972</v>
      </c>
      <c r="AL62" s="5" t="str">
        <f>"20,00"</f>
        <v>20,00</v>
      </c>
      <c r="AM62" s="5" t="str">
        <f>"2026"</f>
        <v>2026</v>
      </c>
      <c r="AN62" s="5" t="str">
        <f t="shared" si="92"/>
        <v>нет</v>
      </c>
      <c r="AO62" s="5" t="str">
        <f>""</f>
        <v/>
      </c>
      <c r="AP62" s="5" t="str">
        <f>""</f>
        <v/>
      </c>
      <c r="AQ62" s="5" t="str">
        <f>""</f>
        <v/>
      </c>
      <c r="AR62" s="5" t="str">
        <f t="shared" si="93"/>
        <v>нет</v>
      </c>
      <c r="AS62" s="5" t="str">
        <f>""</f>
        <v/>
      </c>
      <c r="AT62" s="5" t="str">
        <f>""</f>
        <v/>
      </c>
      <c r="AU62" s="5" t="str">
        <f>""</f>
        <v/>
      </c>
      <c r="AV62" s="5" t="str">
        <f>"1972"</f>
        <v>1972</v>
      </c>
      <c r="AW62" s="5" t="str">
        <f>"18,00"</f>
        <v>18,00</v>
      </c>
      <c r="AX62" s="5" t="str">
        <f>"2025"</f>
        <v>2025</v>
      </c>
      <c r="AY62" s="5" t="str">
        <f t="shared" si="98"/>
        <v>нет</v>
      </c>
      <c r="AZ62" s="5" t="str">
        <f t="shared" si="96"/>
        <v>х</v>
      </c>
      <c r="BA62" s="5" t="str">
        <f t="shared" si="96"/>
        <v>х</v>
      </c>
      <c r="BB62" s="5" t="str">
        <f t="shared" si="96"/>
        <v>х</v>
      </c>
      <c r="BC62" s="5" t="str">
        <f t="shared" si="99"/>
        <v>нет</v>
      </c>
      <c r="BD62" s="5" t="str">
        <f t="shared" si="97"/>
        <v>х</v>
      </c>
      <c r="BE62" s="5" t="str">
        <f t="shared" si="97"/>
        <v>х</v>
      </c>
      <c r="BF62" s="5" t="str">
        <f t="shared" si="97"/>
        <v>х</v>
      </c>
      <c r="BG62" s="5" t="str">
        <f>"1972"</f>
        <v>1972</v>
      </c>
      <c r="BH62" s="5" t="str">
        <f>"20,00"</f>
        <v>20,00</v>
      </c>
      <c r="BI62" s="5" t="str">
        <f>"2025"</f>
        <v>2025</v>
      </c>
      <c r="BJ62" s="5" t="str">
        <f t="shared" si="94"/>
        <v>нет</v>
      </c>
      <c r="BK62" s="5" t="str">
        <f>""</f>
        <v/>
      </c>
      <c r="BL62" s="5" t="str">
        <f>""</f>
        <v/>
      </c>
      <c r="BM62" s="5" t="str">
        <f>""</f>
        <v/>
      </c>
      <c r="BN62" s="5" t="str">
        <f t="shared" si="95"/>
        <v>нет</v>
      </c>
      <c r="BO62" s="5" t="str">
        <f>""</f>
        <v/>
      </c>
      <c r="BP62" s="5" t="str">
        <f>""</f>
        <v/>
      </c>
      <c r="BQ62" s="5" t="str">
        <f>""</f>
        <v/>
      </c>
      <c r="BR62" s="5" t="str">
        <f>"1972"</f>
        <v>1972</v>
      </c>
      <c r="BS62" s="5" t="str">
        <f>"46,00"</f>
        <v>46,00</v>
      </c>
      <c r="BT62" s="5" t="str">
        <f>"2016"</f>
        <v>2016</v>
      </c>
      <c r="BU62" s="5" t="str">
        <f t="shared" si="10"/>
        <v>нет</v>
      </c>
      <c r="BV62" s="5" t="str">
        <f t="shared" si="84"/>
        <v>x</v>
      </c>
      <c r="BW62" s="5" t="str">
        <f t="shared" si="84"/>
        <v>x</v>
      </c>
      <c r="BX62" s="5" t="str">
        <f t="shared" si="84"/>
        <v>x</v>
      </c>
      <c r="BY62" s="5" t="str">
        <f t="shared" si="73"/>
        <v>нет</v>
      </c>
      <c r="BZ62" s="5" t="str">
        <f>"1972"</f>
        <v>1972</v>
      </c>
      <c r="CA62" s="5" t="str">
        <f>"20,00"</f>
        <v>20,00</v>
      </c>
      <c r="CB62" s="5" t="str">
        <f>"2025"</f>
        <v>2025</v>
      </c>
      <c r="CC62" s="5" t="str">
        <f>"1972"</f>
        <v>1972</v>
      </c>
      <c r="CD62" s="5" t="str">
        <f>"48,00"</f>
        <v>48,00</v>
      </c>
      <c r="CE62" s="5" t="str">
        <f>"2016"</f>
        <v>2016</v>
      </c>
      <c r="CF62" s="5" t="str">
        <f>"1972"</f>
        <v>1972</v>
      </c>
      <c r="CG62" s="5" t="str">
        <f>"20,00"</f>
        <v>20,00</v>
      </c>
      <c r="CH62" s="5" t="str">
        <f>"2025"</f>
        <v>2025</v>
      </c>
      <c r="CI62" s="5" t="str">
        <f>"20,00"</f>
        <v>20,00</v>
      </c>
      <c r="CJ62" s="5" t="str">
        <f>"2040"</f>
        <v>2040</v>
      </c>
    </row>
    <row r="63" spans="1:88" ht="11.25" customHeight="1">
      <c r="A63" s="3" t="str">
        <f>"1.50"</f>
        <v>1.50</v>
      </c>
      <c r="B63" s="4" t="str">
        <f>"г. Грязовец, ул. Гагарина, д.3"</f>
        <v>г. Грязовец, ул. Гагарина, д.3</v>
      </c>
      <c r="C63" s="7" t="str">
        <f>"1972"</f>
        <v>1972</v>
      </c>
      <c r="D63" s="5" t="str">
        <f>"1972"</f>
        <v>1972</v>
      </c>
      <c r="E63" s="5" t="str">
        <f>"23,00"</f>
        <v>23,00</v>
      </c>
      <c r="F63" s="5" t="str">
        <f>"2026"</f>
        <v>2026</v>
      </c>
      <c r="G63" s="5" t="str">
        <f>"да"</f>
        <v>да</v>
      </c>
      <c r="H63" s="5" t="str">
        <f>""</f>
        <v/>
      </c>
      <c r="I63" s="5" t="str">
        <f>"20,00"</f>
        <v>20,00</v>
      </c>
      <c r="J63" s="5" t="str">
        <f>"2026"</f>
        <v>2026</v>
      </c>
      <c r="K63" s="5" t="str">
        <f t="shared" si="85"/>
        <v>нет</v>
      </c>
      <c r="L63" s="5" t="str">
        <f>""</f>
        <v/>
      </c>
      <c r="M63" s="5" t="str">
        <f>""</f>
        <v/>
      </c>
      <c r="N63" s="5" t="str">
        <f>""</f>
        <v/>
      </c>
      <c r="O63" s="8" t="str">
        <f>"1972"</f>
        <v>1972</v>
      </c>
      <c r="P63" s="5" t="str">
        <f>"26,00"</f>
        <v>26,00</v>
      </c>
      <c r="Q63" s="5" t="str">
        <f>"2024"</f>
        <v>2024</v>
      </c>
      <c r="R63" s="5" t="str">
        <f t="shared" si="88"/>
        <v>нет</v>
      </c>
      <c r="S63" s="5" t="str">
        <f>""</f>
        <v/>
      </c>
      <c r="T63" s="5" t="str">
        <f>""</f>
        <v/>
      </c>
      <c r="U63" s="5" t="str">
        <f>""</f>
        <v/>
      </c>
      <c r="V63" s="5" t="str">
        <f t="shared" si="89"/>
        <v>нет</v>
      </c>
      <c r="W63" s="5" t="str">
        <f>""</f>
        <v/>
      </c>
      <c r="X63" s="5" t="str">
        <f>""</f>
        <v/>
      </c>
      <c r="Y63" s="9" t="str">
        <f>""</f>
        <v/>
      </c>
      <c r="Z63" s="5" t="str">
        <f>"1972"</f>
        <v>1972</v>
      </c>
      <c r="AA63" s="5" t="str">
        <f>"30,00"</f>
        <v>30,00</v>
      </c>
      <c r="AB63" s="5" t="str">
        <f>"2023"</f>
        <v>2023</v>
      </c>
      <c r="AC63" s="5" t="str">
        <f t="shared" si="90"/>
        <v>нет</v>
      </c>
      <c r="AD63" s="5" t="str">
        <f>""</f>
        <v/>
      </c>
      <c r="AE63" s="5" t="str">
        <f>""</f>
        <v/>
      </c>
      <c r="AF63" s="5" t="str">
        <f>""</f>
        <v/>
      </c>
      <c r="AG63" s="5" t="str">
        <f t="shared" si="91"/>
        <v>нет</v>
      </c>
      <c r="AH63" s="5" t="str">
        <f>""</f>
        <v/>
      </c>
      <c r="AI63" s="5" t="str">
        <f>""</f>
        <v/>
      </c>
      <c r="AJ63" s="5" t="str">
        <f>""</f>
        <v/>
      </c>
      <c r="AK63" s="8" t="str">
        <f>"1972"</f>
        <v>1972</v>
      </c>
      <c r="AL63" s="5" t="str">
        <f>"32,00"</f>
        <v>32,00</v>
      </c>
      <c r="AM63" s="5" t="str">
        <f>"2024"</f>
        <v>2024</v>
      </c>
      <c r="AN63" s="5" t="str">
        <f t="shared" si="92"/>
        <v>нет</v>
      </c>
      <c r="AO63" s="5" t="str">
        <f>""</f>
        <v/>
      </c>
      <c r="AP63" s="5" t="str">
        <f>""</f>
        <v/>
      </c>
      <c r="AQ63" s="5" t="str">
        <f>""</f>
        <v/>
      </c>
      <c r="AR63" s="5" t="str">
        <f t="shared" si="93"/>
        <v>нет</v>
      </c>
      <c r="AS63" s="5" t="str">
        <f>""</f>
        <v/>
      </c>
      <c r="AT63" s="5" t="str">
        <f>""</f>
        <v/>
      </c>
      <c r="AU63" s="5" t="str">
        <f>""</f>
        <v/>
      </c>
      <c r="AV63" s="5" t="str">
        <f>"1972"</f>
        <v>1972</v>
      </c>
      <c r="AW63" s="5" t="str">
        <f>"35,00"</f>
        <v>35,00</v>
      </c>
      <c r="AX63" s="5" t="str">
        <f>"2026"</f>
        <v>2026</v>
      </c>
      <c r="AY63" s="5" t="str">
        <f t="shared" si="98"/>
        <v>нет</v>
      </c>
      <c r="AZ63" s="5" t="str">
        <f>""</f>
        <v/>
      </c>
      <c r="BA63" s="5" t="str">
        <f>""</f>
        <v/>
      </c>
      <c r="BB63" s="5" t="str">
        <f>""</f>
        <v/>
      </c>
      <c r="BC63" s="5" t="str">
        <f t="shared" si="99"/>
        <v>нет</v>
      </c>
      <c r="BD63" s="5" t="str">
        <f>""</f>
        <v/>
      </c>
      <c r="BE63" s="5" t="str">
        <f>""</f>
        <v/>
      </c>
      <c r="BF63" s="5" t="str">
        <f>""</f>
        <v/>
      </c>
      <c r="BG63" s="5" t="str">
        <f>"1972"</f>
        <v>1972</v>
      </c>
      <c r="BH63" s="5" t="str">
        <f>"33,00"</f>
        <v>33,00</v>
      </c>
      <c r="BI63" s="5" t="str">
        <f>"2025"</f>
        <v>2025</v>
      </c>
      <c r="BJ63" s="5" t="str">
        <f t="shared" si="94"/>
        <v>нет</v>
      </c>
      <c r="BK63" s="5" t="str">
        <f>""</f>
        <v/>
      </c>
      <c r="BL63" s="5" t="str">
        <f>""</f>
        <v/>
      </c>
      <c r="BM63" s="5" t="str">
        <f>""</f>
        <v/>
      </c>
      <c r="BN63" s="5" t="str">
        <f t="shared" si="95"/>
        <v>нет</v>
      </c>
      <c r="BO63" s="5" t="str">
        <f>""</f>
        <v/>
      </c>
      <c r="BP63" s="5" t="str">
        <f>""</f>
        <v/>
      </c>
      <c r="BQ63" s="5" t="str">
        <f>""</f>
        <v/>
      </c>
      <c r="BR63" s="5" t="str">
        <f>"1972"</f>
        <v>1972</v>
      </c>
      <c r="BS63" s="5" t="str">
        <f>"34,00"</f>
        <v>34,00</v>
      </c>
      <c r="BT63" s="5" t="str">
        <f>"2026"</f>
        <v>2026</v>
      </c>
      <c r="BU63" s="5" t="str">
        <f t="shared" si="10"/>
        <v>нет</v>
      </c>
      <c r="BV63" s="5" t="str">
        <f t="shared" si="84"/>
        <v>x</v>
      </c>
      <c r="BW63" s="5" t="str">
        <f t="shared" si="84"/>
        <v>x</v>
      </c>
      <c r="BX63" s="5" t="str">
        <f t="shared" si="84"/>
        <v>x</v>
      </c>
      <c r="BY63" s="5" t="str">
        <f t="shared" si="73"/>
        <v>нет</v>
      </c>
      <c r="BZ63" s="5" t="str">
        <f>"1972"</f>
        <v>1972</v>
      </c>
      <c r="CA63" s="5" t="str">
        <f>"30,00"</f>
        <v>30,00</v>
      </c>
      <c r="CB63" s="5" t="str">
        <f>"2026"</f>
        <v>2026</v>
      </c>
      <c r="CC63" s="5" t="str">
        <f>"1972"</f>
        <v>1972</v>
      </c>
      <c r="CD63" s="5" t="str">
        <f>"32,00"</f>
        <v>32,00</v>
      </c>
      <c r="CE63" s="5" t="str">
        <f>"2019"</f>
        <v>2019</v>
      </c>
      <c r="CF63" s="5" t="str">
        <f>"1972"</f>
        <v>1972</v>
      </c>
      <c r="CG63" s="5" t="str">
        <f>"32,00"</f>
        <v>32,00</v>
      </c>
      <c r="CH63" s="5" t="str">
        <f>"2019"</f>
        <v>2019</v>
      </c>
      <c r="CI63" s="5" t="str">
        <f>"23,00"</f>
        <v>23,00</v>
      </c>
      <c r="CJ63" s="5" t="str">
        <f>"2042"</f>
        <v>2042</v>
      </c>
    </row>
    <row r="64" spans="1:88" ht="11.25" customHeight="1">
      <c r="A64" s="3" t="str">
        <f>"1.51"</f>
        <v>1.51</v>
      </c>
      <c r="B64" s="4" t="str">
        <f>"г. Грязовец, ул. Гагарина, д.4"</f>
        <v>г. Грязовец, ул. Гагарина, д.4</v>
      </c>
      <c r="C64" s="7" t="str">
        <f>"1973"</f>
        <v>1973</v>
      </c>
      <c r="D64" s="5" t="str">
        <f>"1973"</f>
        <v>1973</v>
      </c>
      <c r="E64" s="5" t="str">
        <f>"34,00"</f>
        <v>34,00</v>
      </c>
      <c r="F64" s="5" t="str">
        <f>"2021"</f>
        <v>2021</v>
      </c>
      <c r="G64" s="5" t="str">
        <f>"да"</f>
        <v>да</v>
      </c>
      <c r="H64" s="5" t="str">
        <f>""</f>
        <v/>
      </c>
      <c r="I64" s="5" t="str">
        <f>"30,00"</f>
        <v>30,00</v>
      </c>
      <c r="J64" s="5" t="str">
        <f>"2021"</f>
        <v>2021</v>
      </c>
      <c r="K64" s="5" t="str">
        <f t="shared" si="85"/>
        <v>нет</v>
      </c>
      <c r="L64" s="5" t="str">
        <f>""</f>
        <v/>
      </c>
      <c r="M64" s="5" t="str">
        <f>""</f>
        <v/>
      </c>
      <c r="N64" s="5" t="str">
        <f>""</f>
        <v/>
      </c>
      <c r="O64" s="8" t="str">
        <f>"1973"</f>
        <v>1973</v>
      </c>
      <c r="P64" s="5" t="str">
        <f>"36,00"</f>
        <v>36,00</v>
      </c>
      <c r="Q64" s="5" t="str">
        <f>"2020"</f>
        <v>2020</v>
      </c>
      <c r="R64" s="5" t="str">
        <f t="shared" si="88"/>
        <v>нет</v>
      </c>
      <c r="S64" s="5" t="str">
        <f>""</f>
        <v/>
      </c>
      <c r="T64" s="5" t="str">
        <f>""</f>
        <v/>
      </c>
      <c r="U64" s="5" t="str">
        <f>""</f>
        <v/>
      </c>
      <c r="V64" s="5" t="str">
        <f t="shared" si="89"/>
        <v>нет</v>
      </c>
      <c r="W64" s="5" t="str">
        <f>""</f>
        <v/>
      </c>
      <c r="X64" s="5" t="str">
        <f>""</f>
        <v/>
      </c>
      <c r="Y64" s="9" t="str">
        <f>""</f>
        <v/>
      </c>
      <c r="Z64" s="5" t="str">
        <f>"1973"</f>
        <v>1973</v>
      </c>
      <c r="AA64" s="5" t="str">
        <f>"37,00"</f>
        <v>37,00</v>
      </c>
      <c r="AB64" s="5" t="str">
        <f>"2022"</f>
        <v>2022</v>
      </c>
      <c r="AC64" s="5" t="str">
        <f t="shared" si="90"/>
        <v>нет</v>
      </c>
      <c r="AD64" s="5" t="str">
        <f>""</f>
        <v/>
      </c>
      <c r="AE64" s="5" t="str">
        <f>""</f>
        <v/>
      </c>
      <c r="AF64" s="5" t="str">
        <f>""</f>
        <v/>
      </c>
      <c r="AG64" s="5" t="str">
        <f t="shared" si="91"/>
        <v>нет</v>
      </c>
      <c r="AH64" s="5" t="str">
        <f>""</f>
        <v/>
      </c>
      <c r="AI64" s="5" t="str">
        <f>""</f>
        <v/>
      </c>
      <c r="AJ64" s="5" t="str">
        <f>""</f>
        <v/>
      </c>
      <c r="AK64" s="8" t="str">
        <f>"1973"</f>
        <v>1973</v>
      </c>
      <c r="AL64" s="5" t="str">
        <f>"34,00"</f>
        <v>34,00</v>
      </c>
      <c r="AM64" s="5" t="str">
        <f>"2020"</f>
        <v>2020</v>
      </c>
      <c r="AN64" s="5" t="str">
        <f t="shared" si="92"/>
        <v>нет</v>
      </c>
      <c r="AO64" s="5" t="str">
        <f>""</f>
        <v/>
      </c>
      <c r="AP64" s="5" t="str">
        <f>""</f>
        <v/>
      </c>
      <c r="AQ64" s="5" t="str">
        <f>""</f>
        <v/>
      </c>
      <c r="AR64" s="5" t="str">
        <f t="shared" si="93"/>
        <v>нет</v>
      </c>
      <c r="AS64" s="5" t="str">
        <f>""</f>
        <v/>
      </c>
      <c r="AT64" s="5" t="str">
        <f>""</f>
        <v/>
      </c>
      <c r="AU64" s="5" t="str">
        <f>""</f>
        <v/>
      </c>
      <c r="AV64" s="5" t="str">
        <f>"1973"</f>
        <v>1973</v>
      </c>
      <c r="AW64" s="5" t="str">
        <f>"34,00"</f>
        <v>34,00</v>
      </c>
      <c r="AX64" s="5" t="str">
        <f>"2023"</f>
        <v>2023</v>
      </c>
      <c r="AY64" s="5" t="str">
        <f t="shared" si="98"/>
        <v>нет</v>
      </c>
      <c r="AZ64" s="5" t="str">
        <f>"х"</f>
        <v>х</v>
      </c>
      <c r="BA64" s="5" t="str">
        <f>"х"</f>
        <v>х</v>
      </c>
      <c r="BB64" s="5" t="str">
        <f>"х"</f>
        <v>х</v>
      </c>
      <c r="BC64" s="5" t="str">
        <f t="shared" si="99"/>
        <v>нет</v>
      </c>
      <c r="BD64" s="5" t="str">
        <f>"х"</f>
        <v>х</v>
      </c>
      <c r="BE64" s="5" t="str">
        <f>"х"</f>
        <v>х</v>
      </c>
      <c r="BF64" s="5" t="str">
        <f>"х"</f>
        <v>х</v>
      </c>
      <c r="BG64" s="5" t="str">
        <f>"1973"</f>
        <v>1973</v>
      </c>
      <c r="BH64" s="5" t="str">
        <f>"33,00"</f>
        <v>33,00</v>
      </c>
      <c r="BI64" s="5" t="str">
        <f>"2021"</f>
        <v>2021</v>
      </c>
      <c r="BJ64" s="5" t="str">
        <f t="shared" si="94"/>
        <v>нет</v>
      </c>
      <c r="BK64" s="5" t="str">
        <f>""</f>
        <v/>
      </c>
      <c r="BL64" s="5" t="str">
        <f>""</f>
        <v/>
      </c>
      <c r="BM64" s="5" t="str">
        <f>""</f>
        <v/>
      </c>
      <c r="BN64" s="5" t="str">
        <f t="shared" si="95"/>
        <v>нет</v>
      </c>
      <c r="BO64" s="5" t="str">
        <f>""</f>
        <v/>
      </c>
      <c r="BP64" s="5" t="str">
        <f>""</f>
        <v/>
      </c>
      <c r="BQ64" s="5" t="str">
        <f>""</f>
        <v/>
      </c>
      <c r="BR64" s="5" t="str">
        <f>"1973"</f>
        <v>1973</v>
      </c>
      <c r="BS64" s="5" t="str">
        <f>"50,00"</f>
        <v>50,00</v>
      </c>
      <c r="BT64" s="5" t="str">
        <f>"2019"</f>
        <v>2019</v>
      </c>
      <c r="BU64" s="5" t="str">
        <f t="shared" si="10"/>
        <v>нет</v>
      </c>
      <c r="BV64" s="5" t="str">
        <f t="shared" si="84"/>
        <v>x</v>
      </c>
      <c r="BW64" s="5" t="str">
        <f t="shared" si="84"/>
        <v>x</v>
      </c>
      <c r="BX64" s="5" t="str">
        <f t="shared" si="84"/>
        <v>x</v>
      </c>
      <c r="BY64" s="5" t="str">
        <f t="shared" si="73"/>
        <v>нет</v>
      </c>
      <c r="BZ64" s="5" t="str">
        <f>"1973"</f>
        <v>1973</v>
      </c>
      <c r="CA64" s="5" t="str">
        <f>"40,00"</f>
        <v>40,00</v>
      </c>
      <c r="CB64" s="5" t="str">
        <f>"2020"</f>
        <v>2020</v>
      </c>
      <c r="CC64" s="5" t="str">
        <f>"1973"</f>
        <v>1973</v>
      </c>
      <c r="CD64" s="5" t="str">
        <f>"49,00"</f>
        <v>49,00</v>
      </c>
      <c r="CE64" s="5" t="str">
        <f>"2020"</f>
        <v>2020</v>
      </c>
      <c r="CF64" s="5" t="str">
        <f>"1973"</f>
        <v>1973</v>
      </c>
      <c r="CG64" s="5" t="str">
        <f>"39,00"</f>
        <v>39,00</v>
      </c>
      <c r="CH64" s="5" t="str">
        <f>"2019"</f>
        <v>2019</v>
      </c>
      <c r="CI64" s="5" t="str">
        <f>"35,00"</f>
        <v>35,00</v>
      </c>
      <c r="CJ64" s="5" t="str">
        <f>"2042"</f>
        <v>2042</v>
      </c>
    </row>
    <row r="65" spans="1:88" ht="11.25" customHeight="1">
      <c r="A65" s="3" t="str">
        <f>"1.52"</f>
        <v>1.52</v>
      </c>
      <c r="B65" s="4" t="str">
        <f>"г. Грязовец, ул. Гагарина, д.66"</f>
        <v>г. Грязовец, ул. Гагарина, д.66</v>
      </c>
      <c r="C65" s="7" t="str">
        <f>"1993"</f>
        <v>1993</v>
      </c>
      <c r="D65" s="5" t="str">
        <f>"1993"</f>
        <v>1993</v>
      </c>
      <c r="E65" s="5" t="str">
        <f>"10,00"</f>
        <v>10,00</v>
      </c>
      <c r="F65" s="5" t="str">
        <f>"2033"</f>
        <v>2033</v>
      </c>
      <c r="G65" s="5" t="str">
        <f>"нет"</f>
        <v>нет</v>
      </c>
      <c r="H65" s="5" t="str">
        <f>""</f>
        <v/>
      </c>
      <c r="I65" s="5" t="str">
        <f>""</f>
        <v/>
      </c>
      <c r="J65" s="5" t="str">
        <f>""</f>
        <v/>
      </c>
      <c r="K65" s="5" t="str">
        <f t="shared" si="85"/>
        <v>нет</v>
      </c>
      <c r="L65" s="5" t="str">
        <f>""</f>
        <v/>
      </c>
      <c r="M65" s="5" t="str">
        <f>""</f>
        <v/>
      </c>
      <c r="N65" s="5" t="str">
        <f>""</f>
        <v/>
      </c>
      <c r="O65" s="8" t="str">
        <f>"1993"</f>
        <v>1993</v>
      </c>
      <c r="P65" s="5" t="str">
        <f>"52,00"</f>
        <v>52,00</v>
      </c>
      <c r="Q65" s="5" t="str">
        <f>"2021"</f>
        <v>2021</v>
      </c>
      <c r="R65" s="5" t="str">
        <f t="shared" si="88"/>
        <v>нет</v>
      </c>
      <c r="S65" s="5" t="str">
        <f>""</f>
        <v/>
      </c>
      <c r="T65" s="5" t="str">
        <f>""</f>
        <v/>
      </c>
      <c r="U65" s="5" t="str">
        <f>""</f>
        <v/>
      </c>
      <c r="V65" s="5" t="str">
        <f t="shared" si="89"/>
        <v>нет</v>
      </c>
      <c r="W65" s="5" t="str">
        <f>""</f>
        <v/>
      </c>
      <c r="X65" s="5" t="str">
        <f>""</f>
        <v/>
      </c>
      <c r="Y65" s="9" t="str">
        <f>""</f>
        <v/>
      </c>
      <c r="Z65" s="5" t="str">
        <f>"1993"</f>
        <v>1993</v>
      </c>
      <c r="AA65" s="5" t="str">
        <f>"9,00"</f>
        <v>9,00</v>
      </c>
      <c r="AB65" s="5" t="str">
        <f>"2025"</f>
        <v>2025</v>
      </c>
      <c r="AC65" s="5" t="str">
        <f t="shared" si="90"/>
        <v>нет</v>
      </c>
      <c r="AD65" s="5" t="str">
        <f>""</f>
        <v/>
      </c>
      <c r="AE65" s="5" t="str">
        <f>""</f>
        <v/>
      </c>
      <c r="AF65" s="5" t="str">
        <f>""</f>
        <v/>
      </c>
      <c r="AG65" s="5" t="str">
        <f t="shared" si="91"/>
        <v>нет</v>
      </c>
      <c r="AH65" s="5" t="str">
        <f>""</f>
        <v/>
      </c>
      <c r="AI65" s="5" t="str">
        <f>""</f>
        <v/>
      </c>
      <c r="AJ65" s="5" t="str">
        <f>""</f>
        <v/>
      </c>
      <c r="AK65" s="8" t="str">
        <f>"1993"</f>
        <v>1993</v>
      </c>
      <c r="AL65" s="5" t="str">
        <f>"54,00"</f>
        <v>54,00</v>
      </c>
      <c r="AM65" s="5" t="str">
        <f>"2020"</f>
        <v>2020</v>
      </c>
      <c r="AN65" s="5" t="str">
        <f t="shared" si="92"/>
        <v>нет</v>
      </c>
      <c r="AO65" s="5" t="str">
        <f>""</f>
        <v/>
      </c>
      <c r="AP65" s="5" t="str">
        <f>""</f>
        <v/>
      </c>
      <c r="AQ65" s="5" t="str">
        <f>""</f>
        <v/>
      </c>
      <c r="AR65" s="5" t="str">
        <f t="shared" si="93"/>
        <v>нет</v>
      </c>
      <c r="AS65" s="5" t="str">
        <f>""</f>
        <v/>
      </c>
      <c r="AT65" s="5" t="str">
        <f>""</f>
        <v/>
      </c>
      <c r="AU65" s="5" t="str">
        <f>""</f>
        <v/>
      </c>
      <c r="AV65" s="5" t="str">
        <f>"1993"</f>
        <v>1993</v>
      </c>
      <c r="AW65" s="5" t="str">
        <f>"54,00"</f>
        <v>54,00</v>
      </c>
      <c r="AX65" s="5" t="str">
        <f>"2020"</f>
        <v>2020</v>
      </c>
      <c r="AY65" s="5" t="str">
        <f t="shared" si="98"/>
        <v>нет</v>
      </c>
      <c r="AZ65" s="5" t="str">
        <f>""</f>
        <v/>
      </c>
      <c r="BA65" s="5" t="str">
        <f>""</f>
        <v/>
      </c>
      <c r="BB65" s="5" t="str">
        <f>""</f>
        <v/>
      </c>
      <c r="BC65" s="5" t="str">
        <f t="shared" si="99"/>
        <v>нет</v>
      </c>
      <c r="BD65" s="5" t="str">
        <f>""</f>
        <v/>
      </c>
      <c r="BE65" s="5" t="str">
        <f>""</f>
        <v/>
      </c>
      <c r="BF65" s="5" t="str">
        <f>""</f>
        <v/>
      </c>
      <c r="BG65" s="5" t="str">
        <f>"1993"</f>
        <v>1993</v>
      </c>
      <c r="BH65" s="5" t="str">
        <f>"20,00"</f>
        <v>20,00</v>
      </c>
      <c r="BI65" s="5" t="str">
        <f>"2019"</f>
        <v>2019</v>
      </c>
      <c r="BJ65" s="5" t="str">
        <f t="shared" si="94"/>
        <v>нет</v>
      </c>
      <c r="BK65" s="5" t="str">
        <f>""</f>
        <v/>
      </c>
      <c r="BL65" s="5" t="str">
        <f>""</f>
        <v/>
      </c>
      <c r="BM65" s="5" t="str">
        <f>""</f>
        <v/>
      </c>
      <c r="BN65" s="5" t="str">
        <f t="shared" si="95"/>
        <v>нет</v>
      </c>
      <c r="BO65" s="5" t="str">
        <f>""</f>
        <v/>
      </c>
      <c r="BP65" s="5" t="str">
        <f>""</f>
        <v/>
      </c>
      <c r="BQ65" s="5" t="str">
        <f>""</f>
        <v/>
      </c>
      <c r="BR65" s="5" t="str">
        <f>"1993"</f>
        <v>1993</v>
      </c>
      <c r="BS65" s="5" t="str">
        <f>"10,00"</f>
        <v>10,00</v>
      </c>
      <c r="BT65" s="5" t="str">
        <f>"2025"</f>
        <v>2025</v>
      </c>
      <c r="BU65" s="5" t="str">
        <f t="shared" si="10"/>
        <v>нет</v>
      </c>
      <c r="BV65" s="5" t="str">
        <f t="shared" si="84"/>
        <v>x</v>
      </c>
      <c r="BW65" s="5" t="str">
        <f t="shared" si="84"/>
        <v>x</v>
      </c>
      <c r="BX65" s="5" t="str">
        <f t="shared" si="84"/>
        <v>x</v>
      </c>
      <c r="BY65" s="5" t="str">
        <f>"да"</f>
        <v>да</v>
      </c>
      <c r="BZ65" s="5" t="str">
        <f>"1993"</f>
        <v>1993</v>
      </c>
      <c r="CA65" s="5" t="str">
        <f>"10,00"</f>
        <v>10,00</v>
      </c>
      <c r="CB65" s="5" t="str">
        <f>"2024"</f>
        <v>2024</v>
      </c>
      <c r="CC65" s="5" t="str">
        <f>"1993"</f>
        <v>1993</v>
      </c>
      <c r="CD65" s="5" t="str">
        <f>"5,00"</f>
        <v>5,00</v>
      </c>
      <c r="CE65" s="5" t="str">
        <f>"2030"</f>
        <v>2030</v>
      </c>
      <c r="CF65" s="5" t="str">
        <f>"1993"</f>
        <v>1993</v>
      </c>
      <c r="CG65" s="5" t="str">
        <f>"10,00"</f>
        <v>10,00</v>
      </c>
      <c r="CH65" s="5" t="str">
        <f>"2023"</f>
        <v>2023</v>
      </c>
      <c r="CI65" s="5" t="str">
        <f>"10,00"</f>
        <v>10,00</v>
      </c>
      <c r="CJ65" s="5" t="str">
        <f>"2043"</f>
        <v>2043</v>
      </c>
    </row>
    <row r="66" spans="1:88" ht="11.25" customHeight="1">
      <c r="A66" s="3" t="str">
        <f>"1.53"</f>
        <v>1.53</v>
      </c>
      <c r="B66" s="4" t="str">
        <f>"г. Грязовец, ул. Гагарина, д.7"</f>
        <v>г. Грязовец, ул. Гагарина, д.7</v>
      </c>
      <c r="C66" s="7" t="str">
        <f>"1971"</f>
        <v>1971</v>
      </c>
      <c r="D66" s="5" t="str">
        <f>"1971"</f>
        <v>1971</v>
      </c>
      <c r="E66" s="5" t="str">
        <f>"49,00"</f>
        <v>49,00</v>
      </c>
      <c r="F66" s="5" t="str">
        <f>"2016"</f>
        <v>2016</v>
      </c>
      <c r="G66" s="5" t="str">
        <f>"нет"</f>
        <v>нет</v>
      </c>
      <c r="H66" s="5" t="str">
        <f>""</f>
        <v/>
      </c>
      <c r="I66" s="5" t="str">
        <f>""</f>
        <v/>
      </c>
      <c r="J66" s="5" t="str">
        <f>""</f>
        <v/>
      </c>
      <c r="K66" s="5" t="str">
        <f t="shared" si="85"/>
        <v>нет</v>
      </c>
      <c r="L66" s="5" t="str">
        <f>""</f>
        <v/>
      </c>
      <c r="M66" s="5" t="str">
        <f>""</f>
        <v/>
      </c>
      <c r="N66" s="5" t="str">
        <f>""</f>
        <v/>
      </c>
      <c r="O66" s="8" t="str">
        <f>"1971"</f>
        <v>1971</v>
      </c>
      <c r="P66" s="5" t="str">
        <f>"47,00"</f>
        <v>47,00</v>
      </c>
      <c r="Q66" s="5" t="str">
        <f>"2016"</f>
        <v>2016</v>
      </c>
      <c r="R66" s="5" t="str">
        <f t="shared" si="88"/>
        <v>нет</v>
      </c>
      <c r="S66" s="5" t="str">
        <f>""</f>
        <v/>
      </c>
      <c r="T66" s="5" t="str">
        <f>""</f>
        <v/>
      </c>
      <c r="U66" s="5" t="str">
        <f>""</f>
        <v/>
      </c>
      <c r="V66" s="5" t="str">
        <f t="shared" si="89"/>
        <v>нет</v>
      </c>
      <c r="W66" s="5" t="str">
        <f>""</f>
        <v/>
      </c>
      <c r="X66" s="5" t="str">
        <f>""</f>
        <v/>
      </c>
      <c r="Y66" s="9" t="str">
        <f>""</f>
        <v/>
      </c>
      <c r="Z66" s="5" t="str">
        <f>"1971"</f>
        <v>1971</v>
      </c>
      <c r="AA66" s="5" t="str">
        <f>"19,00"</f>
        <v>19,00</v>
      </c>
      <c r="AB66" s="5" t="str">
        <f>"2025"</f>
        <v>2025</v>
      </c>
      <c r="AC66" s="5" t="str">
        <f t="shared" si="90"/>
        <v>нет</v>
      </c>
      <c r="AD66" s="5" t="str">
        <f>""</f>
        <v/>
      </c>
      <c r="AE66" s="5" t="str">
        <f>""</f>
        <v/>
      </c>
      <c r="AF66" s="5" t="str">
        <f>""</f>
        <v/>
      </c>
      <c r="AG66" s="5" t="str">
        <f t="shared" si="91"/>
        <v>нет</v>
      </c>
      <c r="AH66" s="5" t="str">
        <f>""</f>
        <v/>
      </c>
      <c r="AI66" s="5" t="str">
        <f>""</f>
        <v/>
      </c>
      <c r="AJ66" s="5" t="str">
        <f>""</f>
        <v/>
      </c>
      <c r="AK66" s="8" t="str">
        <f>"1971"</f>
        <v>1971</v>
      </c>
      <c r="AL66" s="5" t="str">
        <f>"49,00"</f>
        <v>49,00</v>
      </c>
      <c r="AM66" s="5" t="str">
        <f>"2016"</f>
        <v>2016</v>
      </c>
      <c r="AN66" s="5" t="str">
        <f t="shared" si="92"/>
        <v>нет</v>
      </c>
      <c r="AO66" s="5" t="str">
        <f>""</f>
        <v/>
      </c>
      <c r="AP66" s="5" t="str">
        <f>""</f>
        <v/>
      </c>
      <c r="AQ66" s="5" t="str">
        <f>""</f>
        <v/>
      </c>
      <c r="AR66" s="5" t="str">
        <f t="shared" si="93"/>
        <v>нет</v>
      </c>
      <c r="AS66" s="5" t="str">
        <f>""</f>
        <v/>
      </c>
      <c r="AT66" s="5" t="str">
        <f>""</f>
        <v/>
      </c>
      <c r="AU66" s="5" t="str">
        <f>""</f>
        <v/>
      </c>
      <c r="AV66" s="5" t="str">
        <f>"1971"</f>
        <v>1971</v>
      </c>
      <c r="AW66" s="5" t="str">
        <f>"47,00"</f>
        <v>47,00</v>
      </c>
      <c r="AX66" s="5" t="str">
        <f>"2016"</f>
        <v>2016</v>
      </c>
      <c r="AY66" s="5" t="str">
        <f t="shared" ref="AY66:BF66" si="100">"х"</f>
        <v>х</v>
      </c>
      <c r="AZ66" s="5" t="str">
        <f t="shared" si="100"/>
        <v>х</v>
      </c>
      <c r="BA66" s="5" t="str">
        <f t="shared" si="100"/>
        <v>х</v>
      </c>
      <c r="BB66" s="5" t="str">
        <f t="shared" si="100"/>
        <v>х</v>
      </c>
      <c r="BC66" s="5" t="str">
        <f t="shared" si="100"/>
        <v>х</v>
      </c>
      <c r="BD66" s="5" t="str">
        <f t="shared" si="100"/>
        <v>х</v>
      </c>
      <c r="BE66" s="5" t="str">
        <f t="shared" si="100"/>
        <v>х</v>
      </c>
      <c r="BF66" s="5" t="str">
        <f t="shared" si="100"/>
        <v>х</v>
      </c>
      <c r="BG66" s="5" t="str">
        <f>"1971"</f>
        <v>1971</v>
      </c>
      <c r="BH66" s="5" t="str">
        <f>"49,00"</f>
        <v>49,00</v>
      </c>
      <c r="BI66" s="5" t="str">
        <f>"2016"</f>
        <v>2016</v>
      </c>
      <c r="BJ66" s="5" t="str">
        <f t="shared" si="94"/>
        <v>нет</v>
      </c>
      <c r="BK66" s="5" t="str">
        <f>""</f>
        <v/>
      </c>
      <c r="BL66" s="5" t="str">
        <f>""</f>
        <v/>
      </c>
      <c r="BM66" s="5" t="str">
        <f>""</f>
        <v/>
      </c>
      <c r="BN66" s="5" t="str">
        <f t="shared" si="95"/>
        <v>нет</v>
      </c>
      <c r="BO66" s="5" t="str">
        <f>""</f>
        <v/>
      </c>
      <c r="BP66" s="5" t="str">
        <f>""</f>
        <v/>
      </c>
      <c r="BQ66" s="5" t="str">
        <f>""</f>
        <v/>
      </c>
      <c r="BR66" s="5" t="str">
        <f>"1971"</f>
        <v>1971</v>
      </c>
      <c r="BS66" s="5" t="str">
        <f>"49,00"</f>
        <v>49,00</v>
      </c>
      <c r="BT66" s="5" t="str">
        <f>"2016"</f>
        <v>2016</v>
      </c>
      <c r="BU66" s="5" t="str">
        <f t="shared" si="10"/>
        <v>нет</v>
      </c>
      <c r="BV66" s="5" t="str">
        <f t="shared" si="84"/>
        <v>x</v>
      </c>
      <c r="BW66" s="5" t="str">
        <f t="shared" si="84"/>
        <v>x</v>
      </c>
      <c r="BX66" s="5" t="str">
        <f t="shared" si="84"/>
        <v>x</v>
      </c>
      <c r="BY66" s="5" t="str">
        <f t="shared" ref="BY66:BY105" si="101">"нет"</f>
        <v>нет</v>
      </c>
      <c r="BZ66" s="5" t="str">
        <f>"1971"</f>
        <v>1971</v>
      </c>
      <c r="CA66" s="5" t="str">
        <f>"20,00"</f>
        <v>20,00</v>
      </c>
      <c r="CB66" s="5" t="str">
        <f>"2026"</f>
        <v>2026</v>
      </c>
      <c r="CC66" s="5" t="str">
        <f>"1971"</f>
        <v>1971</v>
      </c>
      <c r="CD66" s="5" t="str">
        <f>"17,00"</f>
        <v>17,00</v>
      </c>
      <c r="CE66" s="5" t="str">
        <f>"2016"</f>
        <v>2016</v>
      </c>
      <c r="CF66" s="5" t="str">
        <f>"1971"</f>
        <v>1971</v>
      </c>
      <c r="CG66" s="5" t="str">
        <f>"20,00"</f>
        <v>20,00</v>
      </c>
      <c r="CH66" s="5" t="str">
        <f>"2020"</f>
        <v>2020</v>
      </c>
      <c r="CI66" s="5" t="str">
        <f>"18,00"</f>
        <v>18,00</v>
      </c>
      <c r="CJ66" s="5" t="str">
        <f>"2042"</f>
        <v>2042</v>
      </c>
    </row>
    <row r="67" spans="1:88" ht="11.25" customHeight="1">
      <c r="A67" s="3" t="str">
        <f>"1.54"</f>
        <v>1.54</v>
      </c>
      <c r="B67" s="4" t="str">
        <f>"г. Грязовец, ул. Гагарина, д.71"</f>
        <v>г. Грязовец, ул. Гагарина, д.71</v>
      </c>
      <c r="C67" s="7" t="str">
        <f>"1991"</f>
        <v>1991</v>
      </c>
      <c r="D67" s="5" t="str">
        <f>"1991"</f>
        <v>1991</v>
      </c>
      <c r="E67" s="5" t="str">
        <f>"17,00"</f>
        <v>17,00</v>
      </c>
      <c r="F67" s="5" t="str">
        <f>"2034"</f>
        <v>2034</v>
      </c>
      <c r="G67" s="5" t="str">
        <f>"да"</f>
        <v>да</v>
      </c>
      <c r="H67" s="5" t="str">
        <f>""</f>
        <v/>
      </c>
      <c r="I67" s="5" t="str">
        <f>"45,00"</f>
        <v>45,00</v>
      </c>
      <c r="J67" s="5" t="str">
        <f>"2034"</f>
        <v>2034</v>
      </c>
      <c r="K67" s="5" t="str">
        <f t="shared" si="85"/>
        <v>нет</v>
      </c>
      <c r="L67" s="5" t="str">
        <f>""</f>
        <v/>
      </c>
      <c r="M67" s="5" t="str">
        <f>""</f>
        <v/>
      </c>
      <c r="N67" s="5" t="str">
        <f>""</f>
        <v/>
      </c>
      <c r="O67" s="8" t="str">
        <f>"1991"</f>
        <v>1991</v>
      </c>
      <c r="P67" s="5" t="str">
        <f>"20,00"</f>
        <v>20,00</v>
      </c>
      <c r="Q67" s="5" t="str">
        <f>"2021"</f>
        <v>2021</v>
      </c>
      <c r="R67" s="5" t="str">
        <f t="shared" si="88"/>
        <v>нет</v>
      </c>
      <c r="S67" s="5" t="str">
        <f>""</f>
        <v/>
      </c>
      <c r="T67" s="5" t="str">
        <f>""</f>
        <v/>
      </c>
      <c r="U67" s="5" t="str">
        <f>""</f>
        <v/>
      </c>
      <c r="V67" s="5" t="str">
        <f t="shared" si="89"/>
        <v>нет</v>
      </c>
      <c r="W67" s="5" t="str">
        <f>""</f>
        <v/>
      </c>
      <c r="X67" s="5" t="str">
        <f>""</f>
        <v/>
      </c>
      <c r="Y67" s="9" t="str">
        <f>""</f>
        <v/>
      </c>
      <c r="Z67" s="5" t="str">
        <f>"1991"</f>
        <v>1991</v>
      </c>
      <c r="AA67" s="5" t="str">
        <f>"20,00"</f>
        <v>20,00</v>
      </c>
      <c r="AB67" s="5" t="str">
        <f>"2019"</f>
        <v>2019</v>
      </c>
      <c r="AC67" s="5" t="str">
        <f t="shared" si="90"/>
        <v>нет</v>
      </c>
      <c r="AD67" s="5" t="str">
        <f>""</f>
        <v/>
      </c>
      <c r="AE67" s="5" t="str">
        <f>""</f>
        <v/>
      </c>
      <c r="AF67" s="5" t="str">
        <f>""</f>
        <v/>
      </c>
      <c r="AG67" s="5" t="str">
        <f t="shared" si="91"/>
        <v>нет</v>
      </c>
      <c r="AH67" s="5" t="str">
        <f>""</f>
        <v/>
      </c>
      <c r="AI67" s="5" t="str">
        <f>""</f>
        <v/>
      </c>
      <c r="AJ67" s="5" t="str">
        <f>""</f>
        <v/>
      </c>
      <c r="AK67" s="8" t="str">
        <f>"1991"</f>
        <v>1991</v>
      </c>
      <c r="AL67" s="5" t="str">
        <f>"17,00"</f>
        <v>17,00</v>
      </c>
      <c r="AM67" s="5" t="str">
        <f>"2024"</f>
        <v>2024</v>
      </c>
      <c r="AN67" s="5" t="str">
        <f t="shared" si="92"/>
        <v>нет</v>
      </c>
      <c r="AO67" s="5" t="str">
        <f>""</f>
        <v/>
      </c>
      <c r="AP67" s="5" t="str">
        <f>""</f>
        <v/>
      </c>
      <c r="AQ67" s="5" t="str">
        <f>""</f>
        <v/>
      </c>
      <c r="AR67" s="5" t="str">
        <f t="shared" si="93"/>
        <v>нет</v>
      </c>
      <c r="AS67" s="5" t="str">
        <f>""</f>
        <v/>
      </c>
      <c r="AT67" s="5" t="str">
        <f>""</f>
        <v/>
      </c>
      <c r="AU67" s="5" t="str">
        <f>""</f>
        <v/>
      </c>
      <c r="AV67" s="5" t="str">
        <f>"1991"</f>
        <v>1991</v>
      </c>
      <c r="AW67" s="5" t="str">
        <f>"16,00"</f>
        <v>16,00</v>
      </c>
      <c r="AX67" s="5" t="str">
        <f>"2023"</f>
        <v>2023</v>
      </c>
      <c r="AY67" s="5" t="str">
        <f>"нет"</f>
        <v>нет</v>
      </c>
      <c r="AZ67" s="5" t="str">
        <f>""</f>
        <v/>
      </c>
      <c r="BA67" s="5" t="str">
        <f>""</f>
        <v/>
      </c>
      <c r="BB67" s="5" t="str">
        <f>""</f>
        <v/>
      </c>
      <c r="BC67" s="5" t="str">
        <f>"нет"</f>
        <v>нет</v>
      </c>
      <c r="BD67" s="5" t="str">
        <f>""</f>
        <v/>
      </c>
      <c r="BE67" s="5" t="str">
        <f>""</f>
        <v/>
      </c>
      <c r="BF67" s="5" t="str">
        <f>""</f>
        <v/>
      </c>
      <c r="BG67" s="5" t="str">
        <f>"1991"</f>
        <v>1991</v>
      </c>
      <c r="BH67" s="5" t="str">
        <f>"17,00"</f>
        <v>17,00</v>
      </c>
      <c r="BI67" s="5" t="str">
        <f>"2023"</f>
        <v>2023</v>
      </c>
      <c r="BJ67" s="5" t="str">
        <f t="shared" si="94"/>
        <v>нет</v>
      </c>
      <c r="BK67" s="5" t="str">
        <f>""</f>
        <v/>
      </c>
      <c r="BL67" s="5" t="str">
        <f>""</f>
        <v/>
      </c>
      <c r="BM67" s="5" t="str">
        <f>""</f>
        <v/>
      </c>
      <c r="BN67" s="5" t="str">
        <f t="shared" si="95"/>
        <v>нет</v>
      </c>
      <c r="BO67" s="5" t="str">
        <f>""</f>
        <v/>
      </c>
      <c r="BP67" s="5" t="str">
        <f>""</f>
        <v/>
      </c>
      <c r="BQ67" s="5" t="str">
        <f>""</f>
        <v/>
      </c>
      <c r="BR67" s="5" t="str">
        <f>"1991"</f>
        <v>1991</v>
      </c>
      <c r="BS67" s="5" t="str">
        <f>"16,00"</f>
        <v>16,00</v>
      </c>
      <c r="BT67" s="5" t="str">
        <f>"2025"</f>
        <v>2025</v>
      </c>
      <c r="BU67" s="5" t="str">
        <f t="shared" si="10"/>
        <v>нет</v>
      </c>
      <c r="BV67" s="5" t="str">
        <f t="shared" si="84"/>
        <v>x</v>
      </c>
      <c r="BW67" s="5" t="str">
        <f t="shared" si="84"/>
        <v>x</v>
      </c>
      <c r="BX67" s="5" t="str">
        <f t="shared" si="84"/>
        <v>x</v>
      </c>
      <c r="BY67" s="5" t="str">
        <f t="shared" si="101"/>
        <v>нет</v>
      </c>
      <c r="BZ67" s="5" t="str">
        <f>"1991"</f>
        <v>1991</v>
      </c>
      <c r="CA67" s="5" t="str">
        <f>"15,00"</f>
        <v>15,00</v>
      </c>
      <c r="CB67" s="5" t="str">
        <f>"2026"</f>
        <v>2026</v>
      </c>
      <c r="CC67" s="5" t="str">
        <f>"1991"</f>
        <v>1991</v>
      </c>
      <c r="CD67" s="5" t="str">
        <f>"17,00"</f>
        <v>17,00</v>
      </c>
      <c r="CE67" s="5" t="str">
        <f>"2026"</f>
        <v>2026</v>
      </c>
      <c r="CF67" s="5" t="str">
        <f>"1991"</f>
        <v>1991</v>
      </c>
      <c r="CG67" s="5" t="str">
        <f>"16,00"</f>
        <v>16,00</v>
      </c>
      <c r="CH67" s="5" t="str">
        <f>"2026"</f>
        <v>2026</v>
      </c>
      <c r="CI67" s="5" t="str">
        <f>"18,00"</f>
        <v>18,00</v>
      </c>
      <c r="CJ67" s="5" t="str">
        <f>"2043"</f>
        <v>2043</v>
      </c>
    </row>
    <row r="68" spans="1:88" ht="11.25" customHeight="1">
      <c r="A68" s="3" t="str">
        <f>"1.55"</f>
        <v>1.55</v>
      </c>
      <c r="B68" s="4" t="str">
        <f>"г. Грязовец, ул. Гагарина, д.73"</f>
        <v>г. Грязовец, ул. Гагарина, д.73</v>
      </c>
      <c r="C68" s="7" t="str">
        <f>"1974"</f>
        <v>1974</v>
      </c>
      <c r="D68" s="5" t="str">
        <f>"1974"</f>
        <v>1974</v>
      </c>
      <c r="E68" s="5" t="str">
        <f>"35,00"</f>
        <v>35,00</v>
      </c>
      <c r="F68" s="5" t="str">
        <f>"2026"</f>
        <v>2026</v>
      </c>
      <c r="G68" s="5" t="str">
        <f>"да"</f>
        <v>да</v>
      </c>
      <c r="H68" s="5" t="str">
        <f>""</f>
        <v/>
      </c>
      <c r="I68" s="5" t="str">
        <f>"20,00"</f>
        <v>20,00</v>
      </c>
      <c r="J68" s="5" t="str">
        <f>"2026"</f>
        <v>2026</v>
      </c>
      <c r="K68" s="5" t="str">
        <f t="shared" si="85"/>
        <v>нет</v>
      </c>
      <c r="L68" s="5" t="str">
        <f>""</f>
        <v/>
      </c>
      <c r="M68" s="5" t="str">
        <f>""</f>
        <v/>
      </c>
      <c r="N68" s="5" t="str">
        <f>""</f>
        <v/>
      </c>
      <c r="O68" s="8" t="str">
        <f>"1974"</f>
        <v>1974</v>
      </c>
      <c r="P68" s="5" t="str">
        <f>"36,00"</f>
        <v>36,00</v>
      </c>
      <c r="Q68" s="5" t="str">
        <f>"2024"</f>
        <v>2024</v>
      </c>
      <c r="R68" s="5" t="str">
        <f t="shared" si="88"/>
        <v>нет</v>
      </c>
      <c r="S68" s="5" t="str">
        <f>""</f>
        <v/>
      </c>
      <c r="T68" s="5" t="str">
        <f>""</f>
        <v/>
      </c>
      <c r="U68" s="5" t="str">
        <f>""</f>
        <v/>
      </c>
      <c r="V68" s="5" t="str">
        <f t="shared" si="89"/>
        <v>нет</v>
      </c>
      <c r="W68" s="5" t="str">
        <f>""</f>
        <v/>
      </c>
      <c r="X68" s="5" t="str">
        <f>""</f>
        <v/>
      </c>
      <c r="Y68" s="9" t="str">
        <f>""</f>
        <v/>
      </c>
      <c r="Z68" s="5" t="str">
        <f>"1974"</f>
        <v>1974</v>
      </c>
      <c r="AA68" s="5" t="str">
        <f>"35,00"</f>
        <v>35,00</v>
      </c>
      <c r="AB68" s="5" t="str">
        <f>"2026"</f>
        <v>2026</v>
      </c>
      <c r="AC68" s="5" t="str">
        <f t="shared" si="90"/>
        <v>нет</v>
      </c>
      <c r="AD68" s="5" t="str">
        <f>""</f>
        <v/>
      </c>
      <c r="AE68" s="5" t="str">
        <f>""</f>
        <v/>
      </c>
      <c r="AF68" s="5" t="str">
        <f>""</f>
        <v/>
      </c>
      <c r="AG68" s="5" t="str">
        <f t="shared" si="91"/>
        <v>нет</v>
      </c>
      <c r="AH68" s="5" t="str">
        <f>""</f>
        <v/>
      </c>
      <c r="AI68" s="5" t="str">
        <f>""</f>
        <v/>
      </c>
      <c r="AJ68" s="5" t="str">
        <f>""</f>
        <v/>
      </c>
      <c r="AK68" s="8" t="str">
        <f>"1974"</f>
        <v>1974</v>
      </c>
      <c r="AL68" s="5" t="str">
        <f>"36,00"</f>
        <v>36,00</v>
      </c>
      <c r="AM68" s="5" t="str">
        <f>"2033"</f>
        <v>2033</v>
      </c>
      <c r="AN68" s="5" t="str">
        <f t="shared" si="92"/>
        <v>нет</v>
      </c>
      <c r="AO68" s="5" t="str">
        <f>""</f>
        <v/>
      </c>
      <c r="AP68" s="5" t="str">
        <f>""</f>
        <v/>
      </c>
      <c r="AQ68" s="5" t="str">
        <f>""</f>
        <v/>
      </c>
      <c r="AR68" s="5" t="str">
        <f t="shared" si="93"/>
        <v>нет</v>
      </c>
      <c r="AS68" s="5" t="str">
        <f>""</f>
        <v/>
      </c>
      <c r="AT68" s="5" t="str">
        <f>""</f>
        <v/>
      </c>
      <c r="AU68" s="5" t="str">
        <f>""</f>
        <v/>
      </c>
      <c r="AV68" s="5" t="str">
        <f>"1974"</f>
        <v>1974</v>
      </c>
      <c r="AW68" s="5" t="str">
        <f>"32,00"</f>
        <v>32,00</v>
      </c>
      <c r="AX68" s="5" t="str">
        <f>"2023"</f>
        <v>2023</v>
      </c>
      <c r="AY68" s="5" t="str">
        <f>"нет"</f>
        <v>нет</v>
      </c>
      <c r="AZ68" s="5" t="str">
        <f>""</f>
        <v/>
      </c>
      <c r="BA68" s="5" t="str">
        <f>""</f>
        <v/>
      </c>
      <c r="BB68" s="5" t="str">
        <f>""</f>
        <v/>
      </c>
      <c r="BC68" s="5" t="str">
        <f>"нет"</f>
        <v>нет</v>
      </c>
      <c r="BD68" s="5" t="str">
        <f>""</f>
        <v/>
      </c>
      <c r="BE68" s="5" t="str">
        <f>""</f>
        <v/>
      </c>
      <c r="BF68" s="5" t="str">
        <f>""</f>
        <v/>
      </c>
      <c r="BG68" s="5" t="str">
        <f>"1974"</f>
        <v>1974</v>
      </c>
      <c r="BH68" s="5" t="str">
        <f>"30,00"</f>
        <v>30,00</v>
      </c>
      <c r="BI68" s="5" t="str">
        <f>"2025"</f>
        <v>2025</v>
      </c>
      <c r="BJ68" s="5" t="str">
        <f t="shared" si="94"/>
        <v>нет</v>
      </c>
      <c r="BK68" s="5" t="str">
        <f>""</f>
        <v/>
      </c>
      <c r="BL68" s="5" t="str">
        <f>""</f>
        <v/>
      </c>
      <c r="BM68" s="5" t="str">
        <f>""</f>
        <v/>
      </c>
      <c r="BN68" s="5" t="str">
        <f t="shared" si="95"/>
        <v>нет</v>
      </c>
      <c r="BO68" s="5" t="str">
        <f>""</f>
        <v/>
      </c>
      <c r="BP68" s="5" t="str">
        <f>""</f>
        <v/>
      </c>
      <c r="BQ68" s="5" t="str">
        <f>""</f>
        <v/>
      </c>
      <c r="BR68" s="5" t="str">
        <f>"1974"</f>
        <v>1974</v>
      </c>
      <c r="BS68" s="5" t="str">
        <f>"34,00"</f>
        <v>34,00</v>
      </c>
      <c r="BT68" s="5" t="str">
        <f>"2024"</f>
        <v>2024</v>
      </c>
      <c r="BU68" s="5" t="str">
        <f t="shared" si="10"/>
        <v>нет</v>
      </c>
      <c r="BV68" s="5" t="str">
        <f t="shared" si="84"/>
        <v>x</v>
      </c>
      <c r="BW68" s="5" t="str">
        <f t="shared" si="84"/>
        <v>x</v>
      </c>
      <c r="BX68" s="5" t="str">
        <f t="shared" si="84"/>
        <v>x</v>
      </c>
      <c r="BY68" s="5" t="str">
        <f t="shared" si="101"/>
        <v>нет</v>
      </c>
      <c r="BZ68" s="5" t="str">
        <f>"1974"</f>
        <v>1974</v>
      </c>
      <c r="CA68" s="5" t="str">
        <f>"32,00"</f>
        <v>32,00</v>
      </c>
      <c r="CB68" s="5" t="str">
        <f>"2022"</f>
        <v>2022</v>
      </c>
      <c r="CC68" s="5" t="str">
        <f>"1974"</f>
        <v>1974</v>
      </c>
      <c r="CD68" s="5" t="str">
        <f>"30,00"</f>
        <v>30,00</v>
      </c>
      <c r="CE68" s="5" t="str">
        <f>"2023"</f>
        <v>2023</v>
      </c>
      <c r="CF68" s="5" t="str">
        <f>"1974"</f>
        <v>1974</v>
      </c>
      <c r="CG68" s="5" t="str">
        <f>"30,00"</f>
        <v>30,00</v>
      </c>
      <c r="CH68" s="5" t="str">
        <f>"2021"</f>
        <v>2021</v>
      </c>
      <c r="CI68" s="5" t="str">
        <f>"39,00"</f>
        <v>39,00</v>
      </c>
      <c r="CJ68" s="5" t="str">
        <f>"2035"</f>
        <v>2035</v>
      </c>
    </row>
    <row r="69" spans="1:88" ht="11.25" customHeight="1">
      <c r="A69" s="3" t="str">
        <f>"1.56"</f>
        <v>1.56</v>
      </c>
      <c r="B69" s="4" t="str">
        <f>"г. Грязовец, ул. Гагарина, д.8"</f>
        <v>г. Грязовец, ул. Гагарина, д.8</v>
      </c>
      <c r="C69" s="7" t="str">
        <f>"1972"</f>
        <v>1972</v>
      </c>
      <c r="D69" s="5" t="str">
        <f>""</f>
        <v/>
      </c>
      <c r="E69" s="5" t="str">
        <f>"55,00"</f>
        <v>55,00</v>
      </c>
      <c r="F69" s="5" t="str">
        <f>"2021"</f>
        <v>2021</v>
      </c>
      <c r="G69" s="5" t="str">
        <f>"нет"</f>
        <v>нет</v>
      </c>
      <c r="H69" s="5" t="str">
        <f>""</f>
        <v/>
      </c>
      <c r="I69" s="5" t="str">
        <f>""</f>
        <v/>
      </c>
      <c r="J69" s="5" t="str">
        <f>""</f>
        <v/>
      </c>
      <c r="K69" s="5" t="str">
        <f t="shared" si="85"/>
        <v>нет</v>
      </c>
      <c r="L69" s="5" t="str">
        <f>""</f>
        <v/>
      </c>
      <c r="M69" s="5" t="str">
        <f>""</f>
        <v/>
      </c>
      <c r="N69" s="5" t="str">
        <f>""</f>
        <v/>
      </c>
      <c r="O69" s="8" t="str">
        <f>""</f>
        <v/>
      </c>
      <c r="P69" s="5" t="str">
        <f>"56,00"</f>
        <v>56,00</v>
      </c>
      <c r="Q69" s="5" t="str">
        <f>"2023"</f>
        <v>2023</v>
      </c>
      <c r="R69" s="5" t="str">
        <f t="shared" si="88"/>
        <v>нет</v>
      </c>
      <c r="S69" s="5" t="str">
        <f>""</f>
        <v/>
      </c>
      <c r="T69" s="5" t="str">
        <f>""</f>
        <v/>
      </c>
      <c r="U69" s="5" t="str">
        <f>""</f>
        <v/>
      </c>
      <c r="V69" s="5" t="str">
        <f t="shared" si="89"/>
        <v>нет</v>
      </c>
      <c r="W69" s="5" t="str">
        <f>""</f>
        <v/>
      </c>
      <c r="X69" s="5" t="str">
        <f>""</f>
        <v/>
      </c>
      <c r="Y69" s="9" t="str">
        <f>""</f>
        <v/>
      </c>
      <c r="Z69" s="5" t="str">
        <f>""</f>
        <v/>
      </c>
      <c r="AA69" s="5" t="str">
        <f>"18,00"</f>
        <v>18,00</v>
      </c>
      <c r="AB69" s="5" t="str">
        <f>"2024"</f>
        <v>2024</v>
      </c>
      <c r="AC69" s="5" t="str">
        <f t="shared" si="90"/>
        <v>нет</v>
      </c>
      <c r="AD69" s="5" t="str">
        <f>""</f>
        <v/>
      </c>
      <c r="AE69" s="5" t="str">
        <f>""</f>
        <v/>
      </c>
      <c r="AF69" s="5" t="str">
        <f>""</f>
        <v/>
      </c>
      <c r="AG69" s="5" t="str">
        <f t="shared" si="91"/>
        <v>нет</v>
      </c>
      <c r="AH69" s="5" t="str">
        <f>""</f>
        <v/>
      </c>
      <c r="AI69" s="5" t="str">
        <f>""</f>
        <v/>
      </c>
      <c r="AJ69" s="5" t="str">
        <f>""</f>
        <v/>
      </c>
      <c r="AK69" s="8" t="str">
        <f>""</f>
        <v/>
      </c>
      <c r="AL69" s="5" t="str">
        <f>"57,00"</f>
        <v>57,00</v>
      </c>
      <c r="AM69" s="5" t="str">
        <f>"2022"</f>
        <v>2022</v>
      </c>
      <c r="AN69" s="5" t="str">
        <f t="shared" si="92"/>
        <v>нет</v>
      </c>
      <c r="AO69" s="5" t="str">
        <f>""</f>
        <v/>
      </c>
      <c r="AP69" s="5" t="str">
        <f>""</f>
        <v/>
      </c>
      <c r="AQ69" s="5" t="str">
        <f>""</f>
        <v/>
      </c>
      <c r="AR69" s="5" t="str">
        <f t="shared" si="93"/>
        <v>нет</v>
      </c>
      <c r="AS69" s="5" t="str">
        <f>""</f>
        <v/>
      </c>
      <c r="AT69" s="5" t="str">
        <f>""</f>
        <v/>
      </c>
      <c r="AU69" s="5" t="str">
        <f>""</f>
        <v/>
      </c>
      <c r="AV69" s="5" t="str">
        <f t="shared" ref="AV69:BF69" si="102">"х"</f>
        <v>х</v>
      </c>
      <c r="AW69" s="5" t="str">
        <f t="shared" si="102"/>
        <v>х</v>
      </c>
      <c r="AX69" s="5" t="str">
        <f t="shared" si="102"/>
        <v>х</v>
      </c>
      <c r="AY69" s="5" t="str">
        <f t="shared" si="102"/>
        <v>х</v>
      </c>
      <c r="AZ69" s="5" t="str">
        <f t="shared" si="102"/>
        <v>х</v>
      </c>
      <c r="BA69" s="5" t="str">
        <f t="shared" si="102"/>
        <v>х</v>
      </c>
      <c r="BB69" s="5" t="str">
        <f t="shared" si="102"/>
        <v>х</v>
      </c>
      <c r="BC69" s="5" t="str">
        <f t="shared" si="102"/>
        <v>х</v>
      </c>
      <c r="BD69" s="5" t="str">
        <f t="shared" si="102"/>
        <v>х</v>
      </c>
      <c r="BE69" s="5" t="str">
        <f t="shared" si="102"/>
        <v>х</v>
      </c>
      <c r="BF69" s="5" t="str">
        <f t="shared" si="102"/>
        <v>х</v>
      </c>
      <c r="BG69" s="5" t="str">
        <f>""</f>
        <v/>
      </c>
      <c r="BH69" s="5" t="str">
        <f>"59,00"</f>
        <v>59,00</v>
      </c>
      <c r="BI69" s="5" t="str">
        <f>"2024"</f>
        <v>2024</v>
      </c>
      <c r="BJ69" s="5" t="str">
        <f t="shared" si="94"/>
        <v>нет</v>
      </c>
      <c r="BK69" s="5" t="str">
        <f>""</f>
        <v/>
      </c>
      <c r="BL69" s="5" t="str">
        <f>""</f>
        <v/>
      </c>
      <c r="BM69" s="5" t="str">
        <f>""</f>
        <v/>
      </c>
      <c r="BN69" s="5" t="str">
        <f t="shared" si="95"/>
        <v>нет</v>
      </c>
      <c r="BO69" s="5" t="str">
        <f>""</f>
        <v/>
      </c>
      <c r="BP69" s="5" t="str">
        <f>""</f>
        <v/>
      </c>
      <c r="BQ69" s="5" t="str">
        <f>""</f>
        <v/>
      </c>
      <c r="BR69" s="5" t="str">
        <f>""</f>
        <v/>
      </c>
      <c r="BS69" s="5" t="str">
        <f>"25,00"</f>
        <v>25,00</v>
      </c>
      <c r="BT69" s="5" t="str">
        <f>"2020"</f>
        <v>2020</v>
      </c>
      <c r="BU69" s="5" t="str">
        <f t="shared" si="10"/>
        <v>нет</v>
      </c>
      <c r="BV69" s="5" t="str">
        <f t="shared" si="84"/>
        <v>x</v>
      </c>
      <c r="BW69" s="5" t="str">
        <f t="shared" si="84"/>
        <v>x</v>
      </c>
      <c r="BX69" s="5" t="str">
        <f t="shared" si="84"/>
        <v>x</v>
      </c>
      <c r="BY69" s="5" t="str">
        <f t="shared" si="101"/>
        <v>нет</v>
      </c>
      <c r="BZ69" s="5" t="str">
        <f>"x"</f>
        <v>x</v>
      </c>
      <c r="CA69" s="5" t="str">
        <f>"x"</f>
        <v>x</v>
      </c>
      <c r="CB69" s="5" t="str">
        <f>"x"</f>
        <v>x</v>
      </c>
      <c r="CC69" s="5" t="str">
        <f>""</f>
        <v/>
      </c>
      <c r="CD69" s="5" t="str">
        <f>"55,00"</f>
        <v>55,00</v>
      </c>
      <c r="CE69" s="5" t="str">
        <f>"2015"</f>
        <v>2015</v>
      </c>
      <c r="CF69" s="5" t="str">
        <f>""</f>
        <v/>
      </c>
      <c r="CG69" s="5" t="str">
        <f>"49,00"</f>
        <v>49,00</v>
      </c>
      <c r="CH69" s="5" t="str">
        <f>"2020"</f>
        <v>2020</v>
      </c>
      <c r="CI69" s="5" t="str">
        <f>"17,00"</f>
        <v>17,00</v>
      </c>
      <c r="CJ69" s="5" t="str">
        <f>"2043"</f>
        <v>2043</v>
      </c>
    </row>
    <row r="70" spans="1:88" ht="11.25" customHeight="1">
      <c r="A70" s="3" t="str">
        <f>"1.57"</f>
        <v>1.57</v>
      </c>
      <c r="B70" s="4" t="str">
        <f>"г. Грязовец, ул. Гагарина, д.83"</f>
        <v>г. Грязовец, ул. Гагарина, д.83</v>
      </c>
      <c r="C70" s="7" t="str">
        <f>"1962"</f>
        <v>1962</v>
      </c>
      <c r="D70" s="5" t="str">
        <f>"1962"</f>
        <v>1962</v>
      </c>
      <c r="E70" s="5" t="str">
        <f>"40,00"</f>
        <v>40,00</v>
      </c>
      <c r="F70" s="5" t="str">
        <f>"2024"</f>
        <v>2024</v>
      </c>
      <c r="G70" s="5" t="str">
        <f t="shared" ref="G70:G80" si="103">"да"</f>
        <v>да</v>
      </c>
      <c r="H70" s="5" t="str">
        <f>""</f>
        <v/>
      </c>
      <c r="I70" s="5" t="str">
        <f>"35,00"</f>
        <v>35,00</v>
      </c>
      <c r="J70" s="5" t="str">
        <f>"2024"</f>
        <v>2024</v>
      </c>
      <c r="K70" s="5" t="str">
        <f>"да"</f>
        <v>да</v>
      </c>
      <c r="L70" s="5" t="str">
        <f>""</f>
        <v/>
      </c>
      <c r="M70" s="5" t="str">
        <f>"30,00"</f>
        <v>30,00</v>
      </c>
      <c r="N70" s="5" t="str">
        <f>"2024"</f>
        <v>2024</v>
      </c>
      <c r="O70" s="8" t="str">
        <f>"1962"</f>
        <v>1962</v>
      </c>
      <c r="P70" s="5" t="str">
        <f>"41,00"</f>
        <v>41,00</v>
      </c>
      <c r="Q70" s="5" t="str">
        <f>"2023"</f>
        <v>2023</v>
      </c>
      <c r="R70" s="5" t="str">
        <f t="shared" si="88"/>
        <v>нет</v>
      </c>
      <c r="S70" s="5" t="str">
        <f>""</f>
        <v/>
      </c>
      <c r="T70" s="5" t="str">
        <f>""</f>
        <v/>
      </c>
      <c r="U70" s="5" t="str">
        <f>""</f>
        <v/>
      </c>
      <c r="V70" s="5" t="str">
        <f t="shared" si="89"/>
        <v>нет</v>
      </c>
      <c r="W70" s="5" t="str">
        <f>""</f>
        <v/>
      </c>
      <c r="X70" s="5" t="str">
        <f>""</f>
        <v/>
      </c>
      <c r="Y70" s="9" t="str">
        <f>""</f>
        <v/>
      </c>
      <c r="Z70" s="5" t="str">
        <f>"1962"</f>
        <v>1962</v>
      </c>
      <c r="AA70" s="5" t="str">
        <f>"40,00"</f>
        <v>40,00</v>
      </c>
      <c r="AB70" s="5" t="str">
        <f>"2022"</f>
        <v>2022</v>
      </c>
      <c r="AC70" s="5" t="str">
        <f>"да"</f>
        <v>да</v>
      </c>
      <c r="AD70" s="5" t="str">
        <f>""</f>
        <v/>
      </c>
      <c r="AE70" s="5" t="str">
        <f>"30,00"</f>
        <v>30,00</v>
      </c>
      <c r="AF70" s="5" t="str">
        <f>"2022"</f>
        <v>2022</v>
      </c>
      <c r="AG70" s="5" t="str">
        <f t="shared" si="91"/>
        <v>нет</v>
      </c>
      <c r="AH70" s="5" t="str">
        <f>""</f>
        <v/>
      </c>
      <c r="AI70" s="5" t="str">
        <f>""</f>
        <v/>
      </c>
      <c r="AJ70" s="5" t="str">
        <f>""</f>
        <v/>
      </c>
      <c r="AK70" s="8" t="str">
        <f>"1962"</f>
        <v>1962</v>
      </c>
      <c r="AL70" s="5" t="str">
        <f>"43,00"</f>
        <v>43,00</v>
      </c>
      <c r="AM70" s="5" t="str">
        <f>"2024"</f>
        <v>2024</v>
      </c>
      <c r="AN70" s="5" t="str">
        <f t="shared" si="92"/>
        <v>нет</v>
      </c>
      <c r="AO70" s="5" t="str">
        <f>""</f>
        <v/>
      </c>
      <c r="AP70" s="5" t="str">
        <f>""</f>
        <v/>
      </c>
      <c r="AQ70" s="5" t="str">
        <f>""</f>
        <v/>
      </c>
      <c r="AR70" s="5" t="str">
        <f t="shared" si="93"/>
        <v>нет</v>
      </c>
      <c r="AS70" s="5" t="str">
        <f>""</f>
        <v/>
      </c>
      <c r="AT70" s="5" t="str">
        <f>""</f>
        <v/>
      </c>
      <c r="AU70" s="5" t="str">
        <f>""</f>
        <v/>
      </c>
      <c r="AV70" s="5" t="str">
        <f>"1962"</f>
        <v>1962</v>
      </c>
      <c r="AW70" s="5" t="str">
        <f>"44,00"</f>
        <v>44,00</v>
      </c>
      <c r="AX70" s="5" t="str">
        <f>"2023"</f>
        <v>2023</v>
      </c>
      <c r="AY70" s="5" t="str">
        <f>"нет"</f>
        <v>нет</v>
      </c>
      <c r="AZ70" s="5" t="str">
        <f>""</f>
        <v/>
      </c>
      <c r="BA70" s="5" t="str">
        <f>""</f>
        <v/>
      </c>
      <c r="BB70" s="5" t="str">
        <f>""</f>
        <v/>
      </c>
      <c r="BC70" s="5" t="str">
        <f>"нет"</f>
        <v>нет</v>
      </c>
      <c r="BD70" s="5" t="str">
        <f>""</f>
        <v/>
      </c>
      <c r="BE70" s="5" t="str">
        <f>""</f>
        <v/>
      </c>
      <c r="BF70" s="5" t="str">
        <f>""</f>
        <v/>
      </c>
      <c r="BG70" s="5" t="str">
        <f>"1962"</f>
        <v>1962</v>
      </c>
      <c r="BH70" s="5" t="str">
        <f>"45,00"</f>
        <v>45,00</v>
      </c>
      <c r="BI70" s="5" t="str">
        <f>"2024"</f>
        <v>2024</v>
      </c>
      <c r="BJ70" s="5" t="str">
        <f t="shared" si="94"/>
        <v>нет</v>
      </c>
      <c r="BK70" s="5" t="str">
        <f>""</f>
        <v/>
      </c>
      <c r="BL70" s="5" t="str">
        <f>""</f>
        <v/>
      </c>
      <c r="BM70" s="5" t="str">
        <f>""</f>
        <v/>
      </c>
      <c r="BN70" s="5" t="str">
        <f t="shared" si="95"/>
        <v>нет</v>
      </c>
      <c r="BO70" s="5" t="str">
        <f>""</f>
        <v/>
      </c>
      <c r="BP70" s="5" t="str">
        <f>""</f>
        <v/>
      </c>
      <c r="BQ70" s="5" t="str">
        <f>""</f>
        <v/>
      </c>
      <c r="BR70" s="5" t="str">
        <f>"1962"</f>
        <v>1962</v>
      </c>
      <c r="BS70" s="5" t="str">
        <f>"50,00"</f>
        <v>50,00</v>
      </c>
      <c r="BT70" s="5" t="str">
        <f>"2020"</f>
        <v>2020</v>
      </c>
      <c r="BU70" s="5" t="str">
        <f t="shared" si="10"/>
        <v>нет</v>
      </c>
      <c r="BV70" s="5" t="str">
        <f t="shared" si="84"/>
        <v>x</v>
      </c>
      <c r="BW70" s="5" t="str">
        <f t="shared" si="84"/>
        <v>x</v>
      </c>
      <c r="BX70" s="5" t="str">
        <f t="shared" si="84"/>
        <v>x</v>
      </c>
      <c r="BY70" s="5" t="str">
        <f t="shared" si="101"/>
        <v>нет</v>
      </c>
      <c r="BZ70" s="5" t="str">
        <f>"1962"</f>
        <v>1962</v>
      </c>
      <c r="CA70" s="5" t="str">
        <f>"50,00"</f>
        <v>50,00</v>
      </c>
      <c r="CB70" s="5" t="str">
        <f>"2022"</f>
        <v>2022</v>
      </c>
      <c r="CC70" s="5" t="str">
        <f>"1962"</f>
        <v>1962</v>
      </c>
      <c r="CD70" s="5" t="str">
        <f>"46,00"</f>
        <v>46,00</v>
      </c>
      <c r="CE70" s="5" t="str">
        <f>"2024"</f>
        <v>2024</v>
      </c>
      <c r="CF70" s="5" t="str">
        <f>"1962"</f>
        <v>1962</v>
      </c>
      <c r="CG70" s="5" t="str">
        <f>"45,00"</f>
        <v>45,00</v>
      </c>
      <c r="CH70" s="5" t="str">
        <f>"2020"</f>
        <v>2020</v>
      </c>
      <c r="CI70" s="5" t="str">
        <f>"37,00"</f>
        <v>37,00</v>
      </c>
      <c r="CJ70" s="5" t="str">
        <f>"2041"</f>
        <v>2041</v>
      </c>
    </row>
    <row r="71" spans="1:88" ht="11.25" customHeight="1">
      <c r="A71" s="3" t="str">
        <f>"1.58"</f>
        <v>1.58</v>
      </c>
      <c r="B71" s="4" t="str">
        <f>"г. Грязовец, ул. Гагарина, д.9"</f>
        <v>г. Грязовец, ул. Гагарина, д.9</v>
      </c>
      <c r="C71" s="7" t="str">
        <f>"1976"</f>
        <v>1976</v>
      </c>
      <c r="D71" s="5" t="str">
        <f>"1976"</f>
        <v>1976</v>
      </c>
      <c r="E71" s="5" t="str">
        <f>"20,00"</f>
        <v>20,00</v>
      </c>
      <c r="F71" s="5" t="str">
        <f>"2024"</f>
        <v>2024</v>
      </c>
      <c r="G71" s="5" t="str">
        <f t="shared" si="103"/>
        <v>да</v>
      </c>
      <c r="H71" s="5" t="str">
        <f>""</f>
        <v/>
      </c>
      <c r="I71" s="5" t="str">
        <f>"15,00"</f>
        <v>15,00</v>
      </c>
      <c r="J71" s="5" t="str">
        <f>"2024"</f>
        <v>2024</v>
      </c>
      <c r="K71" s="5" t="str">
        <f>"да"</f>
        <v>да</v>
      </c>
      <c r="L71" s="5" t="str">
        <f>""</f>
        <v/>
      </c>
      <c r="M71" s="5" t="str">
        <f>"15,00"</f>
        <v>15,00</v>
      </c>
      <c r="N71" s="5" t="str">
        <f>"2024"</f>
        <v>2024</v>
      </c>
      <c r="O71" s="8" t="str">
        <f>"1976"</f>
        <v>1976</v>
      </c>
      <c r="P71" s="5" t="str">
        <f>"22,00"</f>
        <v>22,00</v>
      </c>
      <c r="Q71" s="5" t="str">
        <f>"2024"</f>
        <v>2024</v>
      </c>
      <c r="R71" s="5" t="str">
        <f t="shared" si="88"/>
        <v>нет</v>
      </c>
      <c r="S71" s="5" t="str">
        <f>""</f>
        <v/>
      </c>
      <c r="T71" s="5" t="str">
        <f>""</f>
        <v/>
      </c>
      <c r="U71" s="5" t="str">
        <f>""</f>
        <v/>
      </c>
      <c r="V71" s="5" t="str">
        <f t="shared" si="89"/>
        <v>нет</v>
      </c>
      <c r="W71" s="5" t="str">
        <f>""</f>
        <v/>
      </c>
      <c r="X71" s="5" t="str">
        <f>""</f>
        <v/>
      </c>
      <c r="Y71" s="9" t="str">
        <f>""</f>
        <v/>
      </c>
      <c r="Z71" s="5" t="str">
        <f>"1976"</f>
        <v>1976</v>
      </c>
      <c r="AA71" s="5" t="str">
        <f>"23,00"</f>
        <v>23,00</v>
      </c>
      <c r="AB71" s="5" t="str">
        <f>"2022"</f>
        <v>2022</v>
      </c>
      <c r="AC71" s="5" t="str">
        <f>"да"</f>
        <v>да</v>
      </c>
      <c r="AD71" s="5" t="str">
        <f>""</f>
        <v/>
      </c>
      <c r="AE71" s="5" t="str">
        <f>"20,00"</f>
        <v>20,00</v>
      </c>
      <c r="AF71" s="5" t="str">
        <f>"2022"</f>
        <v>2022</v>
      </c>
      <c r="AG71" s="5" t="str">
        <f t="shared" si="91"/>
        <v>нет</v>
      </c>
      <c r="AH71" s="5" t="str">
        <f>""</f>
        <v/>
      </c>
      <c r="AI71" s="5" t="str">
        <f>""</f>
        <v/>
      </c>
      <c r="AJ71" s="5" t="str">
        <f>""</f>
        <v/>
      </c>
      <c r="AK71" s="8" t="str">
        <f>"1976"</f>
        <v>1976</v>
      </c>
      <c r="AL71" s="5" t="str">
        <f>"22,00"</f>
        <v>22,00</v>
      </c>
      <c r="AM71" s="5" t="str">
        <f>"2023"</f>
        <v>2023</v>
      </c>
      <c r="AN71" s="5" t="str">
        <f t="shared" si="92"/>
        <v>нет</v>
      </c>
      <c r="AO71" s="5" t="str">
        <f>""</f>
        <v/>
      </c>
      <c r="AP71" s="5" t="str">
        <f>""</f>
        <v/>
      </c>
      <c r="AQ71" s="5" t="str">
        <f>""</f>
        <v/>
      </c>
      <c r="AR71" s="5" t="str">
        <f t="shared" si="93"/>
        <v>нет</v>
      </c>
      <c r="AS71" s="5" t="str">
        <f>""</f>
        <v/>
      </c>
      <c r="AT71" s="5" t="str">
        <f>""</f>
        <v/>
      </c>
      <c r="AU71" s="5" t="str">
        <f>""</f>
        <v/>
      </c>
      <c r="AV71" s="5" t="str">
        <f>"1976"</f>
        <v>1976</v>
      </c>
      <c r="AW71" s="5" t="str">
        <f>"22,00"</f>
        <v>22,00</v>
      </c>
      <c r="AX71" s="5" t="str">
        <f>"2023"</f>
        <v>2023</v>
      </c>
      <c r="AY71" s="5" t="str">
        <f>"нет"</f>
        <v>нет</v>
      </c>
      <c r="AZ71" s="5" t="str">
        <f>"х"</f>
        <v>х</v>
      </c>
      <c r="BA71" s="5" t="str">
        <f>"х"</f>
        <v>х</v>
      </c>
      <c r="BB71" s="5" t="str">
        <f>"х"</f>
        <v>х</v>
      </c>
      <c r="BC71" s="5" t="str">
        <f>"нет"</f>
        <v>нет</v>
      </c>
      <c r="BD71" s="5" t="str">
        <f>"х"</f>
        <v>х</v>
      </c>
      <c r="BE71" s="5" t="str">
        <f>"х"</f>
        <v>х</v>
      </c>
      <c r="BF71" s="5" t="str">
        <f>"х"</f>
        <v>х</v>
      </c>
      <c r="BG71" s="5" t="str">
        <f>"1976"</f>
        <v>1976</v>
      </c>
      <c r="BH71" s="5" t="str">
        <f>"23,00"</f>
        <v>23,00</v>
      </c>
      <c r="BI71" s="5" t="str">
        <f>"2024"</f>
        <v>2024</v>
      </c>
      <c r="BJ71" s="5" t="str">
        <f t="shared" si="94"/>
        <v>нет</v>
      </c>
      <c r="BK71" s="5" t="str">
        <f>""</f>
        <v/>
      </c>
      <c r="BL71" s="5" t="str">
        <f>""</f>
        <v/>
      </c>
      <c r="BM71" s="5" t="str">
        <f>""</f>
        <v/>
      </c>
      <c r="BN71" s="5" t="str">
        <f t="shared" si="95"/>
        <v>нет</v>
      </c>
      <c r="BO71" s="5" t="str">
        <f>""</f>
        <v/>
      </c>
      <c r="BP71" s="5" t="str">
        <f>""</f>
        <v/>
      </c>
      <c r="BQ71" s="5" t="str">
        <f>""</f>
        <v/>
      </c>
      <c r="BR71" s="5" t="str">
        <f>"1976"</f>
        <v>1976</v>
      </c>
      <c r="BS71" s="5" t="str">
        <f>"30,00"</f>
        <v>30,00</v>
      </c>
      <c r="BT71" s="5" t="str">
        <f>"2019"</f>
        <v>2019</v>
      </c>
      <c r="BU71" s="5" t="str">
        <f t="shared" si="10"/>
        <v>нет</v>
      </c>
      <c r="BV71" s="5" t="str">
        <f t="shared" si="84"/>
        <v>x</v>
      </c>
      <c r="BW71" s="5" t="str">
        <f t="shared" si="84"/>
        <v>x</v>
      </c>
      <c r="BX71" s="5" t="str">
        <f t="shared" si="84"/>
        <v>x</v>
      </c>
      <c r="BY71" s="5" t="str">
        <f t="shared" si="101"/>
        <v>нет</v>
      </c>
      <c r="BZ71" s="5" t="str">
        <f>"1976"</f>
        <v>1976</v>
      </c>
      <c r="CA71" s="5" t="str">
        <f>"29,00"</f>
        <v>29,00</v>
      </c>
      <c r="CB71" s="5" t="str">
        <f>"2026"</f>
        <v>2026</v>
      </c>
      <c r="CC71" s="5" t="str">
        <f>"1976"</f>
        <v>1976</v>
      </c>
      <c r="CD71" s="5" t="str">
        <f>"16,00"</f>
        <v>16,00</v>
      </c>
      <c r="CE71" s="5" t="str">
        <f>"2025"</f>
        <v>2025</v>
      </c>
      <c r="CF71" s="5" t="str">
        <f>"1976"</f>
        <v>1976</v>
      </c>
      <c r="CG71" s="5" t="str">
        <f>"25,00"</f>
        <v>25,00</v>
      </c>
      <c r="CH71" s="5" t="str">
        <f>"2024"</f>
        <v>2024</v>
      </c>
      <c r="CI71" s="5" t="str">
        <f>"17,00"</f>
        <v>17,00</v>
      </c>
      <c r="CJ71" s="5" t="str">
        <f>"2044"</f>
        <v>2044</v>
      </c>
    </row>
    <row r="72" spans="1:88" ht="11.25" customHeight="1">
      <c r="A72" s="3" t="str">
        <f>"1.59"</f>
        <v>1.59</v>
      </c>
      <c r="B72" s="4" t="str">
        <f>"г. Грязовец, ул. Газовиков, д.24"</f>
        <v>г. Грязовец, ул. Газовиков, д.24</v>
      </c>
      <c r="C72" s="7" t="str">
        <f>"2011"</f>
        <v>2011</v>
      </c>
      <c r="D72" s="5" t="str">
        <f>""</f>
        <v/>
      </c>
      <c r="E72" s="5" t="str">
        <f>"2,00"</f>
        <v>2,00</v>
      </c>
      <c r="F72" s="5" t="str">
        <f>"2035"</f>
        <v>2035</v>
      </c>
      <c r="G72" s="5" t="str">
        <f t="shared" si="103"/>
        <v>да</v>
      </c>
      <c r="H72" s="5" t="str">
        <f>""</f>
        <v/>
      </c>
      <c r="I72" s="5" t="str">
        <f>"2,00"</f>
        <v>2,00</v>
      </c>
      <c r="J72" s="5" t="str">
        <f>"2035"</f>
        <v>2035</v>
      </c>
      <c r="K72" s="5" t="str">
        <f>"да"</f>
        <v>да</v>
      </c>
      <c r="L72" s="5" t="str">
        <f>""</f>
        <v/>
      </c>
      <c r="M72" s="5" t="str">
        <f>"2,00"</f>
        <v>2,00</v>
      </c>
      <c r="N72" s="5" t="str">
        <f>"2035"</f>
        <v>2035</v>
      </c>
      <c r="O72" s="8" t="str">
        <f>""</f>
        <v/>
      </c>
      <c r="P72" s="5" t="str">
        <f>""</f>
        <v/>
      </c>
      <c r="Q72" s="5" t="str">
        <f>""</f>
        <v/>
      </c>
      <c r="R72" s="5" t="str">
        <f>""</f>
        <v/>
      </c>
      <c r="S72" s="5" t="str">
        <f>""</f>
        <v/>
      </c>
      <c r="T72" s="5" t="str">
        <f>""</f>
        <v/>
      </c>
      <c r="U72" s="5" t="str">
        <f>""</f>
        <v/>
      </c>
      <c r="V72" s="5" t="str">
        <f>""</f>
        <v/>
      </c>
      <c r="W72" s="5" t="str">
        <f>""</f>
        <v/>
      </c>
      <c r="X72" s="5" t="str">
        <f>""</f>
        <v/>
      </c>
      <c r="Y72" s="9" t="str">
        <f>""</f>
        <v/>
      </c>
      <c r="Z72" s="5" t="str">
        <f>""</f>
        <v/>
      </c>
      <c r="AA72" s="5" t="str">
        <f>"2,00"</f>
        <v>2,00</v>
      </c>
      <c r="AB72" s="5" t="str">
        <f>"2036"</f>
        <v>2036</v>
      </c>
      <c r="AC72" s="5" t="str">
        <f t="shared" ref="AC72:AC79" si="104">"нет"</f>
        <v>нет</v>
      </c>
      <c r="AD72" s="5" t="str">
        <f>""</f>
        <v/>
      </c>
      <c r="AE72" s="5" t="str">
        <f>""</f>
        <v/>
      </c>
      <c r="AF72" s="5" t="str">
        <f>""</f>
        <v/>
      </c>
      <c r="AG72" s="5" t="str">
        <f t="shared" si="91"/>
        <v>нет</v>
      </c>
      <c r="AH72" s="5" t="str">
        <f>""</f>
        <v/>
      </c>
      <c r="AI72" s="5" t="str">
        <f>""</f>
        <v/>
      </c>
      <c r="AJ72" s="5" t="str">
        <f>""</f>
        <v/>
      </c>
      <c r="AK72" s="8" t="str">
        <f>""</f>
        <v/>
      </c>
      <c r="AL72" s="5" t="str">
        <f>"2,00"</f>
        <v>2,00</v>
      </c>
      <c r="AM72" s="5" t="str">
        <f>"2036"</f>
        <v>2036</v>
      </c>
      <c r="AN72" s="5" t="str">
        <f>"да"</f>
        <v>да</v>
      </c>
      <c r="AO72" s="5" t="str">
        <f>""</f>
        <v/>
      </c>
      <c r="AP72" s="5" t="str">
        <f>"2,00"</f>
        <v>2,00</v>
      </c>
      <c r="AQ72" s="5" t="str">
        <f>"2036"</f>
        <v>2036</v>
      </c>
      <c r="AR72" s="5" t="str">
        <f>"да"</f>
        <v>да</v>
      </c>
      <c r="AS72" s="5" t="str">
        <f>""</f>
        <v/>
      </c>
      <c r="AT72" s="5" t="str">
        <f>"2,00"</f>
        <v>2,00</v>
      </c>
      <c r="AU72" s="5" t="str">
        <f>"2036"</f>
        <v>2036</v>
      </c>
      <c r="AV72" s="5" t="str">
        <f>""</f>
        <v/>
      </c>
      <c r="AW72" s="5" t="str">
        <f>""</f>
        <v/>
      </c>
      <c r="AX72" s="5" t="str">
        <f>""</f>
        <v/>
      </c>
      <c r="AY72" s="5" t="str">
        <f>""</f>
        <v/>
      </c>
      <c r="AZ72" s="5" t="str">
        <f>""</f>
        <v/>
      </c>
      <c r="BA72" s="5" t="str">
        <f>""</f>
        <v/>
      </c>
      <c r="BB72" s="5" t="str">
        <f>""</f>
        <v/>
      </c>
      <c r="BC72" s="5" t="str">
        <f>""</f>
        <v/>
      </c>
      <c r="BD72" s="5" t="str">
        <f>""</f>
        <v/>
      </c>
      <c r="BE72" s="5" t="str">
        <f>""</f>
        <v/>
      </c>
      <c r="BF72" s="5" t="str">
        <f>""</f>
        <v/>
      </c>
      <c r="BG72" s="5" t="str">
        <f>""</f>
        <v/>
      </c>
      <c r="BH72" s="5" t="str">
        <f>"2,00"</f>
        <v>2,00</v>
      </c>
      <c r="BI72" s="5" t="str">
        <f>"2037"</f>
        <v>2037</v>
      </c>
      <c r="BJ72" s="5" t="str">
        <f t="shared" si="94"/>
        <v>нет</v>
      </c>
      <c r="BK72" s="5" t="str">
        <f>""</f>
        <v/>
      </c>
      <c r="BL72" s="5" t="str">
        <f>""</f>
        <v/>
      </c>
      <c r="BM72" s="5" t="str">
        <f>""</f>
        <v/>
      </c>
      <c r="BN72" s="5" t="str">
        <f t="shared" si="95"/>
        <v>нет</v>
      </c>
      <c r="BO72" s="5" t="str">
        <f>""</f>
        <v/>
      </c>
      <c r="BP72" s="5" t="str">
        <f>""</f>
        <v/>
      </c>
      <c r="BQ72" s="5" t="str">
        <f>""</f>
        <v/>
      </c>
      <c r="BR72" s="5" t="str">
        <f>""</f>
        <v/>
      </c>
      <c r="BS72" s="5" t="str">
        <f>"3,00"</f>
        <v>3,00</v>
      </c>
      <c r="BT72" s="5" t="str">
        <f>"2038"</f>
        <v>2038</v>
      </c>
      <c r="BU72" s="5" t="str">
        <f t="shared" si="10"/>
        <v>нет</v>
      </c>
      <c r="BV72" s="5" t="str">
        <f t="shared" si="84"/>
        <v>x</v>
      </c>
      <c r="BW72" s="5" t="str">
        <f t="shared" si="84"/>
        <v>x</v>
      </c>
      <c r="BX72" s="5" t="str">
        <f t="shared" si="84"/>
        <v>x</v>
      </c>
      <c r="BY72" s="5" t="str">
        <f t="shared" si="101"/>
        <v>нет</v>
      </c>
      <c r="BZ72" s="5" t="str">
        <f>"x"</f>
        <v>x</v>
      </c>
      <c r="CA72" s="5" t="str">
        <f>"4,00"</f>
        <v>4,00</v>
      </c>
      <c r="CB72" s="5" t="str">
        <f>"2032"</f>
        <v>2032</v>
      </c>
      <c r="CC72" s="5" t="str">
        <f>""</f>
        <v/>
      </c>
      <c r="CD72" s="5" t="str">
        <f>"2,00"</f>
        <v>2,00</v>
      </c>
      <c r="CE72" s="5" t="str">
        <f>"2037"</f>
        <v>2037</v>
      </c>
      <c r="CF72" s="5" t="str">
        <f>""</f>
        <v/>
      </c>
      <c r="CG72" s="5" t="str">
        <f>"4,00"</f>
        <v>4,00</v>
      </c>
      <c r="CH72" s="5" t="str">
        <f>"2032"</f>
        <v>2032</v>
      </c>
      <c r="CI72" s="5" t="str">
        <f>"2,00"</f>
        <v>2,00</v>
      </c>
      <c r="CJ72" s="5" t="str">
        <f>"2043"</f>
        <v>2043</v>
      </c>
    </row>
    <row r="73" spans="1:88" ht="11.25" customHeight="1">
      <c r="A73" s="3" t="str">
        <f>"1.60"</f>
        <v>1.60</v>
      </c>
      <c r="B73" s="4" t="str">
        <f>"г. Грязовец, ул. Газовиков, д.24"</f>
        <v>г. Грязовец, ул. Газовиков, д.24</v>
      </c>
      <c r="C73" s="7" t="str">
        <f>"2008"</f>
        <v>2008</v>
      </c>
      <c r="D73" s="5" t="str">
        <f>"2008"</f>
        <v>2008</v>
      </c>
      <c r="E73" s="5" t="str">
        <f>"4,00"</f>
        <v>4,00</v>
      </c>
      <c r="F73" s="5" t="str">
        <f>"2035"</f>
        <v>2035</v>
      </c>
      <c r="G73" s="5" t="str">
        <f t="shared" si="103"/>
        <v>да</v>
      </c>
      <c r="H73" s="5" t="str">
        <f>""</f>
        <v/>
      </c>
      <c r="I73" s="5" t="str">
        <f>"4,00"</f>
        <v>4,00</v>
      </c>
      <c r="J73" s="5" t="str">
        <f>"2035"</f>
        <v>2035</v>
      </c>
      <c r="K73" s="5" t="str">
        <f>"да"</f>
        <v>да</v>
      </c>
      <c r="L73" s="5" t="str">
        <f>""</f>
        <v/>
      </c>
      <c r="M73" s="5" t="str">
        <f>"4,00"</f>
        <v>4,00</v>
      </c>
      <c r="N73" s="5" t="str">
        <f>"2035"</f>
        <v>2035</v>
      </c>
      <c r="O73" s="8" t="str">
        <f>""</f>
        <v/>
      </c>
      <c r="P73" s="5" t="str">
        <f>""</f>
        <v/>
      </c>
      <c r="Q73" s="5" t="str">
        <f>""</f>
        <v/>
      </c>
      <c r="R73" s="5" t="str">
        <f>""</f>
        <v/>
      </c>
      <c r="S73" s="5" t="str">
        <f>""</f>
        <v/>
      </c>
      <c r="T73" s="5" t="str">
        <f>""</f>
        <v/>
      </c>
      <c r="U73" s="5" t="str">
        <f>""</f>
        <v/>
      </c>
      <c r="V73" s="5" t="str">
        <f>""</f>
        <v/>
      </c>
      <c r="W73" s="5" t="str">
        <f>""</f>
        <v/>
      </c>
      <c r="X73" s="5" t="str">
        <f>""</f>
        <v/>
      </c>
      <c r="Y73" s="9" t="str">
        <f>""</f>
        <v/>
      </c>
      <c r="Z73" s="5" t="str">
        <f>""</f>
        <v/>
      </c>
      <c r="AA73" s="5" t="str">
        <f>"5,00"</f>
        <v>5,00</v>
      </c>
      <c r="AB73" s="5" t="str">
        <f>"2036"</f>
        <v>2036</v>
      </c>
      <c r="AC73" s="5" t="str">
        <f t="shared" si="104"/>
        <v>нет</v>
      </c>
      <c r="AD73" s="5" t="str">
        <f>""</f>
        <v/>
      </c>
      <c r="AE73" s="5" t="str">
        <f>""</f>
        <v/>
      </c>
      <c r="AF73" s="5" t="str">
        <f>""</f>
        <v/>
      </c>
      <c r="AG73" s="5" t="str">
        <f t="shared" si="91"/>
        <v>нет</v>
      </c>
      <c r="AH73" s="5" t="str">
        <f>""</f>
        <v/>
      </c>
      <c r="AI73" s="5" t="str">
        <f>""</f>
        <v/>
      </c>
      <c r="AJ73" s="5" t="str">
        <f>""</f>
        <v/>
      </c>
      <c r="AK73" s="8" t="str">
        <f>""</f>
        <v/>
      </c>
      <c r="AL73" s="5" t="str">
        <f>"5,00"</f>
        <v>5,00</v>
      </c>
      <c r="AM73" s="5" t="str">
        <f>"2035"</f>
        <v>2035</v>
      </c>
      <c r="AN73" s="5" t="str">
        <f>"да"</f>
        <v>да</v>
      </c>
      <c r="AO73" s="5" t="str">
        <f>""</f>
        <v/>
      </c>
      <c r="AP73" s="5" t="str">
        <f>"5,00"</f>
        <v>5,00</v>
      </c>
      <c r="AQ73" s="5" t="str">
        <f>"2035"</f>
        <v>2035</v>
      </c>
      <c r="AR73" s="5" t="str">
        <f>"да"</f>
        <v>да</v>
      </c>
      <c r="AS73" s="5" t="str">
        <f>""</f>
        <v/>
      </c>
      <c r="AT73" s="5" t="str">
        <f>"5,00"</f>
        <v>5,00</v>
      </c>
      <c r="AU73" s="5" t="str">
        <f>"2035"</f>
        <v>2035</v>
      </c>
      <c r="AV73" s="5" t="str">
        <f>""</f>
        <v/>
      </c>
      <c r="AW73" s="5" t="str">
        <f>""</f>
        <v/>
      </c>
      <c r="AX73" s="5" t="str">
        <f>""</f>
        <v/>
      </c>
      <c r="AY73" s="5" t="str">
        <f>""</f>
        <v/>
      </c>
      <c r="AZ73" s="5" t="str">
        <f>""</f>
        <v/>
      </c>
      <c r="BA73" s="5" t="str">
        <f>""</f>
        <v/>
      </c>
      <c r="BB73" s="5" t="str">
        <f>""</f>
        <v/>
      </c>
      <c r="BC73" s="5" t="str">
        <f>""</f>
        <v/>
      </c>
      <c r="BD73" s="5" t="str">
        <f>""</f>
        <v/>
      </c>
      <c r="BE73" s="5" t="str">
        <f>""</f>
        <v/>
      </c>
      <c r="BF73" s="5" t="str">
        <f>""</f>
        <v/>
      </c>
      <c r="BG73" s="5" t="str">
        <f>""</f>
        <v/>
      </c>
      <c r="BH73" s="5" t="str">
        <f>"5,00"</f>
        <v>5,00</v>
      </c>
      <c r="BI73" s="5" t="str">
        <f>"2035"</f>
        <v>2035</v>
      </c>
      <c r="BJ73" s="5" t="str">
        <f t="shared" si="94"/>
        <v>нет</v>
      </c>
      <c r="BK73" s="5" t="str">
        <f>""</f>
        <v/>
      </c>
      <c r="BL73" s="5" t="str">
        <f>""</f>
        <v/>
      </c>
      <c r="BM73" s="5" t="str">
        <f>""</f>
        <v/>
      </c>
      <c r="BN73" s="5" t="str">
        <f t="shared" si="95"/>
        <v>нет</v>
      </c>
      <c r="BO73" s="5" t="str">
        <f>""</f>
        <v/>
      </c>
      <c r="BP73" s="5" t="str">
        <f>""</f>
        <v/>
      </c>
      <c r="BQ73" s="5" t="str">
        <f>""</f>
        <v/>
      </c>
      <c r="BR73" s="5" t="str">
        <f>""</f>
        <v/>
      </c>
      <c r="BS73" s="5" t="str">
        <f>"5,00"</f>
        <v>5,00</v>
      </c>
      <c r="BT73" s="5" t="str">
        <f>"2034"</f>
        <v>2034</v>
      </c>
      <c r="BU73" s="5" t="str">
        <f t="shared" si="10"/>
        <v>нет</v>
      </c>
      <c r="BV73" s="5" t="str">
        <f t="shared" si="84"/>
        <v>x</v>
      </c>
      <c r="BW73" s="5" t="str">
        <f t="shared" si="84"/>
        <v>x</v>
      </c>
      <c r="BX73" s="5" t="str">
        <f t="shared" si="84"/>
        <v>x</v>
      </c>
      <c r="BY73" s="5" t="str">
        <f t="shared" si="101"/>
        <v>нет</v>
      </c>
      <c r="BZ73" s="5" t="str">
        <f>"x"</f>
        <v>x</v>
      </c>
      <c r="CA73" s="5" t="str">
        <f>"5,00"</f>
        <v>5,00</v>
      </c>
      <c r="CB73" s="5" t="str">
        <f>"2033"</f>
        <v>2033</v>
      </c>
      <c r="CC73" s="5" t="str">
        <f>""</f>
        <v/>
      </c>
      <c r="CD73" s="5" t="str">
        <f>"3,00"</f>
        <v>3,00</v>
      </c>
      <c r="CE73" s="5" t="str">
        <f>"2038"</f>
        <v>2038</v>
      </c>
      <c r="CF73" s="5" t="str">
        <f>""</f>
        <v/>
      </c>
      <c r="CG73" s="5" t="str">
        <f>"5,00"</f>
        <v>5,00</v>
      </c>
      <c r="CH73" s="5" t="str">
        <f>"2032"</f>
        <v>2032</v>
      </c>
      <c r="CI73" s="5" t="str">
        <f>"4,00"</f>
        <v>4,00</v>
      </c>
      <c r="CJ73" s="5" t="str">
        <f>"2044"</f>
        <v>2044</v>
      </c>
    </row>
    <row r="74" spans="1:88" ht="11.25" customHeight="1">
      <c r="A74" s="3" t="str">
        <f>"1.61"</f>
        <v>1.61</v>
      </c>
      <c r="B74" s="4" t="str">
        <f>"г. Грязовец, ул. Газовиков, д.26"</f>
        <v>г. Грязовец, ул. Газовиков, д.26</v>
      </c>
      <c r="C74" s="7" t="str">
        <f>"1994"</f>
        <v>1994</v>
      </c>
      <c r="D74" s="5" t="str">
        <f>"1994"</f>
        <v>1994</v>
      </c>
      <c r="E74" s="5" t="str">
        <f>"50,00"</f>
        <v>50,00</v>
      </c>
      <c r="F74" s="5" t="str">
        <f>"2017"</f>
        <v>2017</v>
      </c>
      <c r="G74" s="5" t="str">
        <f t="shared" si="103"/>
        <v>да</v>
      </c>
      <c r="H74" s="5" t="str">
        <f>""</f>
        <v/>
      </c>
      <c r="I74" s="5" t="str">
        <f>"8,00"</f>
        <v>8,00</v>
      </c>
      <c r="J74" s="5" t="str">
        <f>"2034"</f>
        <v>2034</v>
      </c>
      <c r="K74" s="5" t="str">
        <f>"нет"</f>
        <v>нет</v>
      </c>
      <c r="L74" s="5" t="str">
        <f>""</f>
        <v/>
      </c>
      <c r="M74" s="5" t="str">
        <f>""</f>
        <v/>
      </c>
      <c r="N74" s="5" t="str">
        <f>""</f>
        <v/>
      </c>
      <c r="O74" s="8" t="str">
        <f>"1994"</f>
        <v>1994</v>
      </c>
      <c r="P74" s="5" t="str">
        <f>"50,00"</f>
        <v>50,00</v>
      </c>
      <c r="Q74" s="5" t="str">
        <f>"2017"</f>
        <v>2017</v>
      </c>
      <c r="R74" s="5" t="str">
        <f>"да"</f>
        <v>да</v>
      </c>
      <c r="S74" s="5" t="str">
        <f>""</f>
        <v/>
      </c>
      <c r="T74" s="5" t="str">
        <f>"51,00"</f>
        <v>51,00</v>
      </c>
      <c r="U74" s="5" t="str">
        <f>"2017"</f>
        <v>2017</v>
      </c>
      <c r="V74" s="5" t="str">
        <f>"да"</f>
        <v>да</v>
      </c>
      <c r="W74" s="5" t="str">
        <f>""</f>
        <v/>
      </c>
      <c r="X74" s="5" t="str">
        <f>"51,00"</f>
        <v>51,00</v>
      </c>
      <c r="Y74" s="9" t="str">
        <f>"2017"</f>
        <v>2017</v>
      </c>
      <c r="Z74" s="5" t="str">
        <f>"1994"</f>
        <v>1994</v>
      </c>
      <c r="AA74" s="5" t="str">
        <f>"10,00"</f>
        <v>10,00</v>
      </c>
      <c r="AB74" s="5" t="str">
        <f>"2030"</f>
        <v>2030</v>
      </c>
      <c r="AC74" s="5" t="str">
        <f t="shared" si="104"/>
        <v>нет</v>
      </c>
      <c r="AD74" s="5" t="str">
        <f>""</f>
        <v/>
      </c>
      <c r="AE74" s="5" t="str">
        <f>""</f>
        <v/>
      </c>
      <c r="AF74" s="5" t="str">
        <f>""</f>
        <v/>
      </c>
      <c r="AG74" s="5" t="str">
        <f t="shared" si="91"/>
        <v>нет</v>
      </c>
      <c r="AH74" s="5" t="str">
        <f>""</f>
        <v/>
      </c>
      <c r="AI74" s="5" t="str">
        <f>""</f>
        <v/>
      </c>
      <c r="AJ74" s="5" t="str">
        <f>""</f>
        <v/>
      </c>
      <c r="AK74" s="8" t="str">
        <f>"1994"</f>
        <v>1994</v>
      </c>
      <c r="AL74" s="5" t="str">
        <f>"50,00"</f>
        <v>50,00</v>
      </c>
      <c r="AM74" s="5" t="str">
        <f>"2017"</f>
        <v>2017</v>
      </c>
      <c r="AN74" s="5" t="str">
        <f>"нет"</f>
        <v>нет</v>
      </c>
      <c r="AO74" s="5" t="str">
        <f>""</f>
        <v/>
      </c>
      <c r="AP74" s="5" t="str">
        <f>""</f>
        <v/>
      </c>
      <c r="AQ74" s="5" t="str">
        <f>""</f>
        <v/>
      </c>
      <c r="AR74" s="5" t="str">
        <f>"нет"</f>
        <v>нет</v>
      </c>
      <c r="AS74" s="5" t="str">
        <f>""</f>
        <v/>
      </c>
      <c r="AT74" s="5" t="str">
        <f>""</f>
        <v/>
      </c>
      <c r="AU74" s="5" t="str">
        <f>""</f>
        <v/>
      </c>
      <c r="AV74" s="5" t="str">
        <f>"1994"</f>
        <v>1994</v>
      </c>
      <c r="AW74" s="5" t="str">
        <f>"50,00"</f>
        <v>50,00</v>
      </c>
      <c r="AX74" s="5" t="str">
        <f>"2017"</f>
        <v>2017</v>
      </c>
      <c r="AY74" s="5" t="str">
        <f>"нет"</f>
        <v>нет</v>
      </c>
      <c r="AZ74" s="5" t="str">
        <f>""</f>
        <v/>
      </c>
      <c r="BA74" s="5" t="str">
        <f>""</f>
        <v/>
      </c>
      <c r="BB74" s="5" t="str">
        <f>""</f>
        <v/>
      </c>
      <c r="BC74" s="5" t="str">
        <f>"нет"</f>
        <v>нет</v>
      </c>
      <c r="BD74" s="5" t="str">
        <f>""</f>
        <v/>
      </c>
      <c r="BE74" s="5" t="str">
        <f>""</f>
        <v/>
      </c>
      <c r="BF74" s="5" t="str">
        <f>""</f>
        <v/>
      </c>
      <c r="BG74" s="5" t="str">
        <f>"1994"</f>
        <v>1994</v>
      </c>
      <c r="BH74" s="5" t="str">
        <f>"40,00"</f>
        <v>40,00</v>
      </c>
      <c r="BI74" s="5" t="str">
        <f>"2017"</f>
        <v>2017</v>
      </c>
      <c r="BJ74" s="5" t="str">
        <f t="shared" si="94"/>
        <v>нет</v>
      </c>
      <c r="BK74" s="5" t="str">
        <f>""</f>
        <v/>
      </c>
      <c r="BL74" s="5" t="str">
        <f>""</f>
        <v/>
      </c>
      <c r="BM74" s="5" t="str">
        <f>""</f>
        <v/>
      </c>
      <c r="BN74" s="5" t="str">
        <f t="shared" si="95"/>
        <v>нет</v>
      </c>
      <c r="BO74" s="5" t="str">
        <f>""</f>
        <v/>
      </c>
      <c r="BP74" s="5" t="str">
        <f>""</f>
        <v/>
      </c>
      <c r="BQ74" s="5" t="str">
        <f>""</f>
        <v/>
      </c>
      <c r="BR74" s="5" t="str">
        <f>"1994"</f>
        <v>1994</v>
      </c>
      <c r="BS74" s="5" t="str">
        <f>"50,00"</f>
        <v>50,00</v>
      </c>
      <c r="BT74" s="5" t="str">
        <f>"2019"</f>
        <v>2019</v>
      </c>
      <c r="BU74" s="5" t="str">
        <f t="shared" si="10"/>
        <v>нет</v>
      </c>
      <c r="BV74" s="5" t="str">
        <f t="shared" ref="BV74:BX93" si="105">"x"</f>
        <v>x</v>
      </c>
      <c r="BW74" s="5" t="str">
        <f t="shared" si="105"/>
        <v>x</v>
      </c>
      <c r="BX74" s="5" t="str">
        <f t="shared" si="105"/>
        <v>x</v>
      </c>
      <c r="BY74" s="5" t="str">
        <f t="shared" si="101"/>
        <v>нет</v>
      </c>
      <c r="BZ74" s="5" t="str">
        <f>"1994"</f>
        <v>1994</v>
      </c>
      <c r="CA74" s="5" t="str">
        <f>"51,00"</f>
        <v>51,00</v>
      </c>
      <c r="CB74" s="5" t="str">
        <f>"2017"</f>
        <v>2017</v>
      </c>
      <c r="CC74" s="5" t="str">
        <f>"1994"</f>
        <v>1994</v>
      </c>
      <c r="CD74" s="5" t="str">
        <f>"30,00"</f>
        <v>30,00</v>
      </c>
      <c r="CE74" s="5" t="str">
        <f>"2025"</f>
        <v>2025</v>
      </c>
      <c r="CF74" s="5" t="str">
        <f>"1994"</f>
        <v>1994</v>
      </c>
      <c r="CG74" s="5" t="str">
        <f>"10,00"</f>
        <v>10,00</v>
      </c>
      <c r="CH74" s="5" t="str">
        <f>"2025"</f>
        <v>2025</v>
      </c>
      <c r="CI74" s="5" t="str">
        <f>"7,00"</f>
        <v>7,00</v>
      </c>
      <c r="CJ74" s="5" t="str">
        <f>"2020"</f>
        <v>2020</v>
      </c>
    </row>
    <row r="75" spans="1:88" ht="11.25" customHeight="1">
      <c r="A75" s="3" t="str">
        <f>"1.62"</f>
        <v>1.62</v>
      </c>
      <c r="B75" s="4" t="str">
        <f>"г. Грязовец, ул. Газовиков, д.28"</f>
        <v>г. Грязовец, ул. Газовиков, д.28</v>
      </c>
      <c r="C75" s="7" t="str">
        <f>"2009"</f>
        <v>2009</v>
      </c>
      <c r="D75" s="5" t="str">
        <f>"2009"</f>
        <v>2009</v>
      </c>
      <c r="E75" s="5" t="str">
        <f>"0,10"</f>
        <v>0,10</v>
      </c>
      <c r="F75" s="5" t="str">
        <f>"2040"</f>
        <v>2040</v>
      </c>
      <c r="G75" s="5" t="str">
        <f t="shared" si="103"/>
        <v>да</v>
      </c>
      <c r="H75" s="5" t="str">
        <f>"2009"</f>
        <v>2009</v>
      </c>
      <c r="I75" s="5" t="str">
        <f>"0,10"</f>
        <v>0,10</v>
      </c>
      <c r="J75" s="5" t="str">
        <f>"2040"</f>
        <v>2040</v>
      </c>
      <c r="K75" s="5" t="str">
        <f>"да"</f>
        <v>да</v>
      </c>
      <c r="L75" s="5" t="str">
        <f>""</f>
        <v/>
      </c>
      <c r="M75" s="5" t="str">
        <f>"0,10"</f>
        <v>0,10</v>
      </c>
      <c r="N75" s="5" t="str">
        <f>"2040"</f>
        <v>2040</v>
      </c>
      <c r="O75" s="8" t="str">
        <f>"2009"</f>
        <v>2009</v>
      </c>
      <c r="P75" s="5" t="str">
        <f>"0,10"</f>
        <v>0,10</v>
      </c>
      <c r="Q75" s="5" t="str">
        <f>"2030"</f>
        <v>2030</v>
      </c>
      <c r="R75" s="5" t="str">
        <f>"да"</f>
        <v>да</v>
      </c>
      <c r="S75" s="5" t="str">
        <f>"2009"</f>
        <v>2009</v>
      </c>
      <c r="T75" s="5" t="str">
        <f>"0,10"</f>
        <v>0,10</v>
      </c>
      <c r="U75" s="5" t="str">
        <f>"2020"</f>
        <v>2020</v>
      </c>
      <c r="V75" s="5" t="str">
        <f>"да"</f>
        <v>да</v>
      </c>
      <c r="W75" s="5" t="str">
        <f>"2009"</f>
        <v>2009</v>
      </c>
      <c r="X75" s="5" t="str">
        <f>"0,10"</f>
        <v>0,10</v>
      </c>
      <c r="Y75" s="9" t="str">
        <f>"2020"</f>
        <v>2020</v>
      </c>
      <c r="Z75" s="5" t="str">
        <f>"2009"</f>
        <v>2009</v>
      </c>
      <c r="AA75" s="5" t="str">
        <f>"0,10"</f>
        <v>0,10</v>
      </c>
      <c r="AB75" s="5" t="str">
        <f>"2040"</f>
        <v>2040</v>
      </c>
      <c r="AC75" s="5" t="str">
        <f t="shared" si="104"/>
        <v>нет</v>
      </c>
      <c r="AD75" s="5" t="str">
        <f>""</f>
        <v/>
      </c>
      <c r="AE75" s="5" t="str">
        <f>""</f>
        <v/>
      </c>
      <c r="AF75" s="5" t="str">
        <f>""</f>
        <v/>
      </c>
      <c r="AG75" s="5" t="str">
        <f>"да"</f>
        <v>да</v>
      </c>
      <c r="AH75" s="5" t="str">
        <f>"2009"</f>
        <v>2009</v>
      </c>
      <c r="AI75" s="5" t="str">
        <f>"1,00"</f>
        <v>1,00</v>
      </c>
      <c r="AJ75" s="5" t="str">
        <f>"2040"</f>
        <v>2040</v>
      </c>
      <c r="AK75" s="8" t="str">
        <f>"2009"</f>
        <v>2009</v>
      </c>
      <c r="AL75" s="5" t="str">
        <f>"0,10"</f>
        <v>0,10</v>
      </c>
      <c r="AM75" s="5" t="str">
        <f>"2040"</f>
        <v>2040</v>
      </c>
      <c r="AN75" s="5" t="str">
        <f>"да"</f>
        <v>да</v>
      </c>
      <c r="AO75" s="5" t="str">
        <f>"2009"</f>
        <v>2009</v>
      </c>
      <c r="AP75" s="5" t="str">
        <f>"0,10"</f>
        <v>0,10</v>
      </c>
      <c r="AQ75" s="5" t="str">
        <f>"2040"</f>
        <v>2040</v>
      </c>
      <c r="AR75" s="5" t="str">
        <f>"да"</f>
        <v>да</v>
      </c>
      <c r="AS75" s="5" t="str">
        <f>"2009"</f>
        <v>2009</v>
      </c>
      <c r="AT75" s="5" t="str">
        <f>"20,00"</f>
        <v>20,00</v>
      </c>
      <c r="AU75" s="5" t="str">
        <f>"2040"</f>
        <v>2040</v>
      </c>
      <c r="AV75" s="5" t="str">
        <f>"2009"</f>
        <v>2009</v>
      </c>
      <c r="AW75" s="5" t="str">
        <f>"1,00"</f>
        <v>1,00</v>
      </c>
      <c r="AX75" s="5" t="str">
        <f>"2020"</f>
        <v>2020</v>
      </c>
      <c r="AY75" s="5" t="str">
        <f>"да"</f>
        <v>да</v>
      </c>
      <c r="AZ75" s="5" t="str">
        <f>"2014"</f>
        <v>2014</v>
      </c>
      <c r="BA75" s="5" t="str">
        <f>""</f>
        <v/>
      </c>
      <c r="BB75" s="5" t="str">
        <f>"2017"</f>
        <v>2017</v>
      </c>
      <c r="BC75" s="5" t="str">
        <f>"да"</f>
        <v>да</v>
      </c>
      <c r="BD75" s="5" t="str">
        <f>""</f>
        <v/>
      </c>
      <c r="BE75" s="5" t="str">
        <f>""</f>
        <v/>
      </c>
      <c r="BF75" s="5" t="str">
        <f>"2020"</f>
        <v>2020</v>
      </c>
      <c r="BG75" s="5" t="str">
        <f>"2009"</f>
        <v>2009</v>
      </c>
      <c r="BH75" s="5" t="str">
        <f>"2,00"</f>
        <v>2,00</v>
      </c>
      <c r="BI75" s="5" t="str">
        <f>"2040"</f>
        <v>2040</v>
      </c>
      <c r="BJ75" s="5" t="str">
        <f t="shared" si="94"/>
        <v>нет</v>
      </c>
      <c r="BK75" s="5" t="str">
        <f>""</f>
        <v/>
      </c>
      <c r="BL75" s="5" t="str">
        <f>""</f>
        <v/>
      </c>
      <c r="BM75" s="5" t="str">
        <f>""</f>
        <v/>
      </c>
      <c r="BN75" s="5" t="str">
        <f t="shared" si="95"/>
        <v>нет</v>
      </c>
      <c r="BO75" s="5" t="str">
        <f>""</f>
        <v/>
      </c>
      <c r="BP75" s="5" t="str">
        <f>""</f>
        <v/>
      </c>
      <c r="BQ75" s="5" t="str">
        <f>""</f>
        <v/>
      </c>
      <c r="BR75" s="5" t="str">
        <f>"2009"</f>
        <v>2009</v>
      </c>
      <c r="BS75" s="5" t="str">
        <f>"3,00"</f>
        <v>3,00</v>
      </c>
      <c r="BT75" s="5" t="str">
        <f>"2020"</f>
        <v>2020</v>
      </c>
      <c r="BU75" s="5" t="str">
        <f t="shared" si="10"/>
        <v>нет</v>
      </c>
      <c r="BV75" s="5" t="str">
        <f t="shared" si="105"/>
        <v>x</v>
      </c>
      <c r="BW75" s="5" t="str">
        <f t="shared" si="105"/>
        <v>x</v>
      </c>
      <c r="BX75" s="5" t="str">
        <f t="shared" si="105"/>
        <v>x</v>
      </c>
      <c r="BY75" s="5" t="str">
        <f t="shared" si="101"/>
        <v>нет</v>
      </c>
      <c r="BZ75" s="5" t="str">
        <f>"2009"</f>
        <v>2009</v>
      </c>
      <c r="CA75" s="5" t="str">
        <f>"x"</f>
        <v>x</v>
      </c>
      <c r="CB75" s="5" t="str">
        <f>"2020"</f>
        <v>2020</v>
      </c>
      <c r="CC75" s="5" t="str">
        <f>"2009"</f>
        <v>2009</v>
      </c>
      <c r="CD75" s="5" t="str">
        <f>"2,00"</f>
        <v>2,00</v>
      </c>
      <c r="CE75" s="5" t="str">
        <f>"2033"</f>
        <v>2033</v>
      </c>
      <c r="CF75" s="5" t="str">
        <f>"2009"</f>
        <v>2009</v>
      </c>
      <c r="CG75" s="5" t="str">
        <f>"2,00"</f>
        <v>2,00</v>
      </c>
      <c r="CH75" s="5" t="str">
        <f>"2035"</f>
        <v>2035</v>
      </c>
      <c r="CI75" s="5" t="str">
        <f>"0,00"</f>
        <v>0,00</v>
      </c>
      <c r="CJ75" s="5" t="str">
        <f>"2040"</f>
        <v>2040</v>
      </c>
    </row>
    <row r="76" spans="1:88" ht="11.25" customHeight="1">
      <c r="A76" s="3" t="str">
        <f>"1.63"</f>
        <v>1.63</v>
      </c>
      <c r="B76" s="4" t="str">
        <f>"г. Грязовец, ул. Газовиков, д.33"</f>
        <v>г. Грязовец, ул. Газовиков, д.33</v>
      </c>
      <c r="C76" s="7" t="str">
        <f>"1994"</f>
        <v>1994</v>
      </c>
      <c r="D76" s="5" t="str">
        <f>""</f>
        <v/>
      </c>
      <c r="E76" s="5" t="str">
        <f>"5,00"</f>
        <v>5,00</v>
      </c>
      <c r="F76" s="5" t="str">
        <f>"2033"</f>
        <v>2033</v>
      </c>
      <c r="G76" s="5" t="str">
        <f t="shared" si="103"/>
        <v>да</v>
      </c>
      <c r="H76" s="5" t="str">
        <f>""</f>
        <v/>
      </c>
      <c r="I76" s="5" t="str">
        <f>"20,00"</f>
        <v>20,00</v>
      </c>
      <c r="J76" s="5" t="str">
        <f>"2033"</f>
        <v>2033</v>
      </c>
      <c r="K76" s="5" t="str">
        <f>"нет"</f>
        <v>нет</v>
      </c>
      <c r="L76" s="5" t="str">
        <f>""</f>
        <v/>
      </c>
      <c r="M76" s="5" t="str">
        <f>""</f>
        <v/>
      </c>
      <c r="N76" s="5" t="str">
        <f>""</f>
        <v/>
      </c>
      <c r="O76" s="8" t="str">
        <f>""</f>
        <v/>
      </c>
      <c r="P76" s="5" t="str">
        <f>"5,00"</f>
        <v>5,00</v>
      </c>
      <c r="Q76" s="5" t="str">
        <f>"2020"</f>
        <v>2020</v>
      </c>
      <c r="R76" s="5" t="str">
        <f>"нет"</f>
        <v>нет</v>
      </c>
      <c r="S76" s="5" t="str">
        <f>""</f>
        <v/>
      </c>
      <c r="T76" s="5" t="str">
        <f>""</f>
        <v/>
      </c>
      <c r="U76" s="5" t="str">
        <f>""</f>
        <v/>
      </c>
      <c r="V76" s="5" t="str">
        <f>"да"</f>
        <v>да</v>
      </c>
      <c r="W76" s="5" t="str">
        <f>""</f>
        <v/>
      </c>
      <c r="X76" s="5" t="str">
        <f>"40,00"</f>
        <v>40,00</v>
      </c>
      <c r="Y76" s="9" t="str">
        <f>"2020"</f>
        <v>2020</v>
      </c>
      <c r="Z76" s="5" t="str">
        <f>""</f>
        <v/>
      </c>
      <c r="AA76" s="5" t="str">
        <f>"30,00"</f>
        <v>30,00</v>
      </c>
      <c r="AB76" s="5" t="str">
        <f>"2030"</f>
        <v>2030</v>
      </c>
      <c r="AC76" s="5" t="str">
        <f t="shared" si="104"/>
        <v>нет</v>
      </c>
      <c r="AD76" s="5" t="str">
        <f>""</f>
        <v/>
      </c>
      <c r="AE76" s="5" t="str">
        <f>""</f>
        <v/>
      </c>
      <c r="AF76" s="5" t="str">
        <f>""</f>
        <v/>
      </c>
      <c r="AG76" s="5" t="str">
        <f>"нет"</f>
        <v>нет</v>
      </c>
      <c r="AH76" s="5" t="str">
        <f>""</f>
        <v/>
      </c>
      <c r="AI76" s="5" t="str">
        <f>""</f>
        <v/>
      </c>
      <c r="AJ76" s="5" t="str">
        <f>""</f>
        <v/>
      </c>
      <c r="AK76" s="8" t="str">
        <f>""</f>
        <v/>
      </c>
      <c r="AL76" s="5" t="str">
        <f>"45,00"</f>
        <v>45,00</v>
      </c>
      <c r="AM76" s="5" t="str">
        <f>"2033"</f>
        <v>2033</v>
      </c>
      <c r="AN76" s="5" t="str">
        <f>"нет"</f>
        <v>нет</v>
      </c>
      <c r="AO76" s="5" t="str">
        <f>""</f>
        <v/>
      </c>
      <c r="AP76" s="5" t="str">
        <f>""</f>
        <v/>
      </c>
      <c r="AQ76" s="5" t="str">
        <f>""</f>
        <v/>
      </c>
      <c r="AR76" s="5" t="str">
        <f>"да"</f>
        <v>да</v>
      </c>
      <c r="AS76" s="5" t="str">
        <f>""</f>
        <v/>
      </c>
      <c r="AT76" s="5" t="str">
        <f>"45,00"</f>
        <v>45,00</v>
      </c>
      <c r="AU76" s="5" t="str">
        <f>"2020"</f>
        <v>2020</v>
      </c>
      <c r="AV76" s="5" t="str">
        <f>""</f>
        <v/>
      </c>
      <c r="AW76" s="5" t="str">
        <f>"10,00"</f>
        <v>10,00</v>
      </c>
      <c r="AX76" s="5" t="str">
        <f>"2020"</f>
        <v>2020</v>
      </c>
      <c r="AY76" s="5" t="str">
        <f>"нет"</f>
        <v>нет</v>
      </c>
      <c r="AZ76" s="5" t="str">
        <f>""</f>
        <v/>
      </c>
      <c r="BA76" s="5" t="str">
        <f>""</f>
        <v/>
      </c>
      <c r="BB76" s="5" t="str">
        <f>""</f>
        <v/>
      </c>
      <c r="BC76" s="5" t="str">
        <f>"да"</f>
        <v>да</v>
      </c>
      <c r="BD76" s="5" t="str">
        <f>""</f>
        <v/>
      </c>
      <c r="BE76" s="5" t="str">
        <f>"35,00"</f>
        <v>35,00</v>
      </c>
      <c r="BF76" s="5" t="str">
        <f>"2020"</f>
        <v>2020</v>
      </c>
      <c r="BG76" s="5" t="str">
        <f>""</f>
        <v/>
      </c>
      <c r="BH76" s="5" t="str">
        <f>"15,00"</f>
        <v>15,00</v>
      </c>
      <c r="BI76" s="5" t="str">
        <f>"2022"</f>
        <v>2022</v>
      </c>
      <c r="BJ76" s="5" t="str">
        <f t="shared" si="94"/>
        <v>нет</v>
      </c>
      <c r="BK76" s="5" t="str">
        <f>""</f>
        <v/>
      </c>
      <c r="BL76" s="5" t="str">
        <f>""</f>
        <v/>
      </c>
      <c r="BM76" s="5" t="str">
        <f>""</f>
        <v/>
      </c>
      <c r="BN76" s="5" t="str">
        <f t="shared" si="95"/>
        <v>нет</v>
      </c>
      <c r="BO76" s="5" t="str">
        <f>""</f>
        <v/>
      </c>
      <c r="BP76" s="5" t="str">
        <f>""</f>
        <v/>
      </c>
      <c r="BQ76" s="5" t="str">
        <f>""</f>
        <v/>
      </c>
      <c r="BR76" s="5" t="str">
        <f>""</f>
        <v/>
      </c>
      <c r="BS76" s="5" t="str">
        <f>"20,00"</f>
        <v>20,00</v>
      </c>
      <c r="BT76" s="5" t="str">
        <f>"2028"</f>
        <v>2028</v>
      </c>
      <c r="BU76" s="5" t="str">
        <f t="shared" si="10"/>
        <v>нет</v>
      </c>
      <c r="BV76" s="5" t="str">
        <f t="shared" si="105"/>
        <v>x</v>
      </c>
      <c r="BW76" s="5" t="str">
        <f t="shared" si="105"/>
        <v>x</v>
      </c>
      <c r="BX76" s="5" t="str">
        <f t="shared" si="105"/>
        <v>x</v>
      </c>
      <c r="BY76" s="5" t="str">
        <f t="shared" si="101"/>
        <v>нет</v>
      </c>
      <c r="BZ76" s="5" t="str">
        <f>"x"</f>
        <v>x</v>
      </c>
      <c r="CA76" s="5" t="str">
        <f>"47,00"</f>
        <v>47,00</v>
      </c>
      <c r="CB76" s="5" t="str">
        <f>"2016"</f>
        <v>2016</v>
      </c>
      <c r="CC76" s="5" t="str">
        <f>""</f>
        <v/>
      </c>
      <c r="CD76" s="5" t="str">
        <f>"5,00"</f>
        <v>5,00</v>
      </c>
      <c r="CE76" s="5" t="str">
        <f>"2029"</f>
        <v>2029</v>
      </c>
      <c r="CF76" s="5" t="str">
        <f>""</f>
        <v/>
      </c>
      <c r="CG76" s="5" t="str">
        <f>"3,00"</f>
        <v>3,00</v>
      </c>
      <c r="CH76" s="5" t="str">
        <f>"2030"</f>
        <v>2030</v>
      </c>
      <c r="CI76" s="5" t="str">
        <f>"14,00"</f>
        <v>14,00</v>
      </c>
      <c r="CJ76" s="5" t="str">
        <f>"2043"</f>
        <v>2043</v>
      </c>
    </row>
    <row r="77" spans="1:88" ht="11.25" customHeight="1">
      <c r="A77" s="3" t="str">
        <f>"1.64"</f>
        <v>1.64</v>
      </c>
      <c r="B77" s="4" t="str">
        <f>"г. Грязовец, ул. Газовиков, д.34"</f>
        <v>г. Грязовец, ул. Газовиков, д.34</v>
      </c>
      <c r="C77" s="7" t="str">
        <f>"1996"</f>
        <v>1996</v>
      </c>
      <c r="D77" s="5" t="str">
        <f>"1996"</f>
        <v>1996</v>
      </c>
      <c r="E77" s="5" t="str">
        <f>"1,00"</f>
        <v>1,00</v>
      </c>
      <c r="F77" s="5" t="str">
        <f>"2040"</f>
        <v>2040</v>
      </c>
      <c r="G77" s="5" t="str">
        <f t="shared" si="103"/>
        <v>да</v>
      </c>
      <c r="H77" s="5" t="str">
        <f>"1996"</f>
        <v>1996</v>
      </c>
      <c r="I77" s="5" t="str">
        <f>"10,00"</f>
        <v>10,00</v>
      </c>
      <c r="J77" s="5" t="str">
        <f>"2040"</f>
        <v>2040</v>
      </c>
      <c r="K77" s="5" t="str">
        <f>"да"</f>
        <v>да</v>
      </c>
      <c r="L77" s="5" t="str">
        <f>"1996"</f>
        <v>1996</v>
      </c>
      <c r="M77" s="5" t="str">
        <f>"1,00"</f>
        <v>1,00</v>
      </c>
      <c r="N77" s="5" t="str">
        <f>"2040"</f>
        <v>2040</v>
      </c>
      <c r="O77" s="8" t="str">
        <f>"1996"</f>
        <v>1996</v>
      </c>
      <c r="P77" s="5" t="str">
        <f>"2,00"</f>
        <v>2,00</v>
      </c>
      <c r="Q77" s="5" t="str">
        <f>"2020"</f>
        <v>2020</v>
      </c>
      <c r="R77" s="5" t="str">
        <f>"да"</f>
        <v>да</v>
      </c>
      <c r="S77" s="5" t="str">
        <f>"2010"</f>
        <v>2010</v>
      </c>
      <c r="T77" s="5" t="str">
        <f>"х"</f>
        <v>х</v>
      </c>
      <c r="U77" s="5" t="str">
        <f>"2020"</f>
        <v>2020</v>
      </c>
      <c r="V77" s="5" t="str">
        <f>"да"</f>
        <v>да</v>
      </c>
      <c r="W77" s="5" t="str">
        <f>"х"</f>
        <v>х</v>
      </c>
      <c r="X77" s="5" t="str">
        <f>"х"</f>
        <v>х</v>
      </c>
      <c r="Y77" s="9" t="str">
        <f>"2020"</f>
        <v>2020</v>
      </c>
      <c r="Z77" s="5" t="str">
        <f>"1996"</f>
        <v>1996</v>
      </c>
      <c r="AA77" s="5" t="str">
        <f>"25,00"</f>
        <v>25,00</v>
      </c>
      <c r="AB77" s="5" t="str">
        <f>"2036"</f>
        <v>2036</v>
      </c>
      <c r="AC77" s="5" t="str">
        <f t="shared" si="104"/>
        <v>нет</v>
      </c>
      <c r="AD77" s="5" t="str">
        <f>""</f>
        <v/>
      </c>
      <c r="AE77" s="5" t="str">
        <f>""</f>
        <v/>
      </c>
      <c r="AF77" s="5" t="str">
        <f>""</f>
        <v/>
      </c>
      <c r="AG77" s="5" t="str">
        <f>"да"</f>
        <v>да</v>
      </c>
      <c r="AH77" s="5" t="str">
        <f>""</f>
        <v/>
      </c>
      <c r="AI77" s="5" t="str">
        <f>"30,00"</f>
        <v>30,00</v>
      </c>
      <c r="AJ77" s="5" t="str">
        <f>"2037"</f>
        <v>2037</v>
      </c>
      <c r="AK77" s="8" t="str">
        <f>"1996"</f>
        <v>1996</v>
      </c>
      <c r="AL77" s="5" t="str">
        <f>"5,00"</f>
        <v>5,00</v>
      </c>
      <c r="AM77" s="5" t="str">
        <f>"2033"</f>
        <v>2033</v>
      </c>
      <c r="AN77" s="5" t="str">
        <f>"да"</f>
        <v>да</v>
      </c>
      <c r="AO77" s="5" t="str">
        <f>"2013"</f>
        <v>2013</v>
      </c>
      <c r="AP77" s="5" t="str">
        <f>"5,00"</f>
        <v>5,00</v>
      </c>
      <c r="AQ77" s="5" t="str">
        <f>"2033"</f>
        <v>2033</v>
      </c>
      <c r="AR77" s="5" t="str">
        <f>"да"</f>
        <v>да</v>
      </c>
      <c r="AS77" s="5" t="str">
        <f>"1996"</f>
        <v>1996</v>
      </c>
      <c r="AT77" s="5" t="str">
        <f>"5,00"</f>
        <v>5,00</v>
      </c>
      <c r="AU77" s="5" t="str">
        <f>"2033"</f>
        <v>2033</v>
      </c>
      <c r="AV77" s="5" t="str">
        <f>"1996"</f>
        <v>1996</v>
      </c>
      <c r="AW77" s="5" t="str">
        <f>"5,00"</f>
        <v>5,00</v>
      </c>
      <c r="AX77" s="5" t="str">
        <f>"2020"</f>
        <v>2020</v>
      </c>
      <c r="AY77" s="5" t="str">
        <f>"да"</f>
        <v>да</v>
      </c>
      <c r="AZ77" s="5" t="str">
        <f>"2012"</f>
        <v>2012</v>
      </c>
      <c r="BA77" s="5" t="str">
        <f>"х"</f>
        <v>х</v>
      </c>
      <c r="BB77" s="5" t="str">
        <f>"2016"</f>
        <v>2016</v>
      </c>
      <c r="BC77" s="5" t="str">
        <f>"да"</f>
        <v>да</v>
      </c>
      <c r="BD77" s="5" t="str">
        <f>"1996"</f>
        <v>1996</v>
      </c>
      <c r="BE77" s="5" t="str">
        <f>"х"</f>
        <v>х</v>
      </c>
      <c r="BF77" s="5" t="str">
        <f>"2020"</f>
        <v>2020</v>
      </c>
      <c r="BG77" s="5" t="str">
        <f>"1996"</f>
        <v>1996</v>
      </c>
      <c r="BH77" s="5" t="str">
        <f>"15,00"</f>
        <v>15,00</v>
      </c>
      <c r="BI77" s="5" t="str">
        <f>"2023"</f>
        <v>2023</v>
      </c>
      <c r="BJ77" s="5" t="str">
        <f t="shared" si="94"/>
        <v>нет</v>
      </c>
      <c r="BK77" s="5" t="str">
        <f>"х"</f>
        <v>х</v>
      </c>
      <c r="BL77" s="5" t="str">
        <f>"х"</f>
        <v>х</v>
      </c>
      <c r="BM77" s="5" t="str">
        <f>"х"</f>
        <v>х</v>
      </c>
      <c r="BN77" s="5" t="str">
        <f t="shared" si="95"/>
        <v>нет</v>
      </c>
      <c r="BO77" s="5" t="str">
        <f>"х"</f>
        <v>х</v>
      </c>
      <c r="BP77" s="5" t="str">
        <f>"х"</f>
        <v>х</v>
      </c>
      <c r="BQ77" s="5" t="str">
        <f>"х"</f>
        <v>х</v>
      </c>
      <c r="BR77" s="5" t="str">
        <f>"1996"</f>
        <v>1996</v>
      </c>
      <c r="BS77" s="5" t="str">
        <f>"25,00"</f>
        <v>25,00</v>
      </c>
      <c r="BT77" s="5" t="str">
        <f>"2020"</f>
        <v>2020</v>
      </c>
      <c r="BU77" s="5" t="str">
        <f t="shared" si="10"/>
        <v>нет</v>
      </c>
      <c r="BV77" s="5" t="str">
        <f t="shared" si="105"/>
        <v>x</v>
      </c>
      <c r="BW77" s="5" t="str">
        <f t="shared" si="105"/>
        <v>x</v>
      </c>
      <c r="BX77" s="5" t="str">
        <f t="shared" si="105"/>
        <v>x</v>
      </c>
      <c r="BY77" s="5" t="str">
        <f t="shared" si="101"/>
        <v>нет</v>
      </c>
      <c r="BZ77" s="5" t="str">
        <f>"1996"</f>
        <v>1996</v>
      </c>
      <c r="CA77" s="5" t="str">
        <f t="shared" ref="CA77:CB82" si="106">"x"</f>
        <v>x</v>
      </c>
      <c r="CB77" s="5" t="str">
        <f t="shared" si="106"/>
        <v>x</v>
      </c>
      <c r="CC77" s="5" t="str">
        <f>"1996"</f>
        <v>1996</v>
      </c>
      <c r="CD77" s="5" t="str">
        <f>"12,00"</f>
        <v>12,00</v>
      </c>
      <c r="CE77" s="5" t="str">
        <f>"2031"</f>
        <v>2031</v>
      </c>
      <c r="CF77" s="5" t="str">
        <f>"1996"</f>
        <v>1996</v>
      </c>
      <c r="CG77" s="5" t="str">
        <f>"10,00"</f>
        <v>10,00</v>
      </c>
      <c r="CH77" s="5" t="str">
        <f>"2033"</f>
        <v>2033</v>
      </c>
      <c r="CI77" s="5" t="str">
        <f>"3,00"</f>
        <v>3,00</v>
      </c>
      <c r="CJ77" s="5" t="str">
        <f>"2044"</f>
        <v>2044</v>
      </c>
    </row>
    <row r="78" spans="1:88" ht="11.25" customHeight="1">
      <c r="A78" s="3" t="str">
        <f>"1.65"</f>
        <v>1.65</v>
      </c>
      <c r="B78" s="4" t="str">
        <f>"г. Грязовец, ул. Газовиков, д.35"</f>
        <v>г. Грязовец, ул. Газовиков, д.35</v>
      </c>
      <c r="C78" s="7" t="str">
        <f>"1994"</f>
        <v>1994</v>
      </c>
      <c r="D78" s="5" t="str">
        <f>""</f>
        <v/>
      </c>
      <c r="E78" s="5" t="str">
        <f>"10,00"</f>
        <v>10,00</v>
      </c>
      <c r="F78" s="5" t="str">
        <f>"2034"</f>
        <v>2034</v>
      </c>
      <c r="G78" s="5" t="str">
        <f t="shared" si="103"/>
        <v>да</v>
      </c>
      <c r="H78" s="5" t="str">
        <f>"1994"</f>
        <v>1994</v>
      </c>
      <c r="I78" s="5" t="str">
        <f>"5,00"</f>
        <v>5,00</v>
      </c>
      <c r="J78" s="5" t="str">
        <f>"2034"</f>
        <v>2034</v>
      </c>
      <c r="K78" s="5" t="str">
        <f>"да"</f>
        <v>да</v>
      </c>
      <c r="L78" s="5" t="str">
        <f>"1994"</f>
        <v>1994</v>
      </c>
      <c r="M78" s="5" t="str">
        <f>"45,00"</f>
        <v>45,00</v>
      </c>
      <c r="N78" s="5" t="str">
        <f>"2029"</f>
        <v>2029</v>
      </c>
      <c r="O78" s="8" t="str">
        <f>""</f>
        <v/>
      </c>
      <c r="P78" s="5" t="str">
        <f>"20,00"</f>
        <v>20,00</v>
      </c>
      <c r="Q78" s="5" t="str">
        <f>"2020"</f>
        <v>2020</v>
      </c>
      <c r="R78" s="5" t="str">
        <f>"нет"</f>
        <v>нет</v>
      </c>
      <c r="S78" s="5" t="str">
        <f>""</f>
        <v/>
      </c>
      <c r="T78" s="5" t="str">
        <f>""</f>
        <v/>
      </c>
      <c r="U78" s="5" t="str">
        <f>""</f>
        <v/>
      </c>
      <c r="V78" s="5" t="str">
        <f>"нет"</f>
        <v>нет</v>
      </c>
      <c r="W78" s="5" t="str">
        <f>""</f>
        <v/>
      </c>
      <c r="X78" s="5" t="str">
        <f>""</f>
        <v/>
      </c>
      <c r="Y78" s="9" t="str">
        <f>""</f>
        <v/>
      </c>
      <c r="Z78" s="5" t="str">
        <f>""</f>
        <v/>
      </c>
      <c r="AA78" s="5" t="str">
        <f>"5,00"</f>
        <v>5,00</v>
      </c>
      <c r="AB78" s="5" t="str">
        <f>"2020"</f>
        <v>2020</v>
      </c>
      <c r="AC78" s="5" t="str">
        <f t="shared" si="104"/>
        <v>нет</v>
      </c>
      <c r="AD78" s="5" t="str">
        <f>""</f>
        <v/>
      </c>
      <c r="AE78" s="5" t="str">
        <f>""</f>
        <v/>
      </c>
      <c r="AF78" s="5" t="str">
        <f>""</f>
        <v/>
      </c>
      <c r="AG78" s="5" t="str">
        <f>"нет"</f>
        <v>нет</v>
      </c>
      <c r="AH78" s="5" t="str">
        <f>""</f>
        <v/>
      </c>
      <c r="AI78" s="5" t="str">
        <f>""</f>
        <v/>
      </c>
      <c r="AJ78" s="5" t="str">
        <f>""</f>
        <v/>
      </c>
      <c r="AK78" s="8" t="str">
        <f>""</f>
        <v/>
      </c>
      <c r="AL78" s="5" t="str">
        <f>"10,00"</f>
        <v>10,00</v>
      </c>
      <c r="AM78" s="5" t="str">
        <f>"2034"</f>
        <v>2034</v>
      </c>
      <c r="AN78" s="5" t="str">
        <f>"нет"</f>
        <v>нет</v>
      </c>
      <c r="AO78" s="5" t="str">
        <f>""</f>
        <v/>
      </c>
      <c r="AP78" s="5" t="str">
        <f>""</f>
        <v/>
      </c>
      <c r="AQ78" s="5" t="str">
        <f>""</f>
        <v/>
      </c>
      <c r="AR78" s="5" t="str">
        <f>"нет"</f>
        <v>нет</v>
      </c>
      <c r="AS78" s="5" t="str">
        <f>""</f>
        <v/>
      </c>
      <c r="AT78" s="5" t="str">
        <f>""</f>
        <v/>
      </c>
      <c r="AU78" s="5" t="str">
        <f>""</f>
        <v/>
      </c>
      <c r="AV78" s="5" t="str">
        <f>""</f>
        <v/>
      </c>
      <c r="AW78" s="5" t="str">
        <f>"15,00"</f>
        <v>15,00</v>
      </c>
      <c r="AX78" s="5" t="str">
        <f>"2020"</f>
        <v>2020</v>
      </c>
      <c r="AY78" s="5" t="str">
        <f>"нет"</f>
        <v>нет</v>
      </c>
      <c r="AZ78" s="5" t="str">
        <f>""</f>
        <v/>
      </c>
      <c r="BA78" s="5" t="str">
        <f>""</f>
        <v/>
      </c>
      <c r="BB78" s="5" t="str">
        <f>""</f>
        <v/>
      </c>
      <c r="BC78" s="5" t="str">
        <f>"нет"</f>
        <v>нет</v>
      </c>
      <c r="BD78" s="5" t="str">
        <f>""</f>
        <v/>
      </c>
      <c r="BE78" s="5" t="str">
        <f>""</f>
        <v/>
      </c>
      <c r="BF78" s="5" t="str">
        <f>""</f>
        <v/>
      </c>
      <c r="BG78" s="5" t="str">
        <f>""</f>
        <v/>
      </c>
      <c r="BH78" s="5" t="str">
        <f>"20,00"</f>
        <v>20,00</v>
      </c>
      <c r="BI78" s="5" t="str">
        <f>"2021"</f>
        <v>2021</v>
      </c>
      <c r="BJ78" s="5" t="str">
        <f t="shared" si="94"/>
        <v>нет</v>
      </c>
      <c r="BK78" s="5" t="str">
        <f>""</f>
        <v/>
      </c>
      <c r="BL78" s="5" t="str">
        <f>""</f>
        <v/>
      </c>
      <c r="BM78" s="5" t="str">
        <f>""</f>
        <v/>
      </c>
      <c r="BN78" s="5" t="str">
        <f t="shared" si="95"/>
        <v>нет</v>
      </c>
      <c r="BO78" s="5" t="str">
        <f>""</f>
        <v/>
      </c>
      <c r="BP78" s="5" t="str">
        <f>""</f>
        <v/>
      </c>
      <c r="BQ78" s="5" t="str">
        <f>""</f>
        <v/>
      </c>
      <c r="BR78" s="5" t="str">
        <f>""</f>
        <v/>
      </c>
      <c r="BS78" s="5" t="str">
        <f>"20,00"</f>
        <v>20,00</v>
      </c>
      <c r="BT78" s="5" t="str">
        <f>"2020"</f>
        <v>2020</v>
      </c>
      <c r="BU78" s="5" t="str">
        <f t="shared" ref="BU78:BU141" si="107">"нет"</f>
        <v>нет</v>
      </c>
      <c r="BV78" s="5" t="str">
        <f t="shared" si="105"/>
        <v>x</v>
      </c>
      <c r="BW78" s="5" t="str">
        <f t="shared" si="105"/>
        <v>x</v>
      </c>
      <c r="BX78" s="5" t="str">
        <f t="shared" si="105"/>
        <v>x</v>
      </c>
      <c r="BY78" s="5" t="str">
        <f t="shared" si="101"/>
        <v>нет</v>
      </c>
      <c r="BZ78" s="5" t="str">
        <f>"x"</f>
        <v>x</v>
      </c>
      <c r="CA78" s="5" t="str">
        <f t="shared" si="106"/>
        <v>x</v>
      </c>
      <c r="CB78" s="5" t="str">
        <f t="shared" si="106"/>
        <v>x</v>
      </c>
      <c r="CC78" s="5" t="str">
        <f>""</f>
        <v/>
      </c>
      <c r="CD78" s="5" t="str">
        <f>"17,00"</f>
        <v>17,00</v>
      </c>
      <c r="CE78" s="5" t="str">
        <f>"2030"</f>
        <v>2030</v>
      </c>
      <c r="CF78" s="5" t="str">
        <f>""</f>
        <v/>
      </c>
      <c r="CG78" s="5" t="str">
        <f>"15,00"</f>
        <v>15,00</v>
      </c>
      <c r="CH78" s="5" t="str">
        <f>"2033"</f>
        <v>2033</v>
      </c>
      <c r="CI78" s="5" t="str">
        <f>"7,00"</f>
        <v>7,00</v>
      </c>
      <c r="CJ78" s="5" t="str">
        <f>"2020"</f>
        <v>2020</v>
      </c>
    </row>
    <row r="79" spans="1:88" ht="11.25" customHeight="1">
      <c r="A79" s="3" t="str">
        <f>"1.66"</f>
        <v>1.66</v>
      </c>
      <c r="B79" s="4" t="str">
        <f>"г. Грязовец, ул. Газовиков, д.36"</f>
        <v>г. Грязовец, ул. Газовиков, д.36</v>
      </c>
      <c r="C79" s="7" t="str">
        <f>"1998"</f>
        <v>1998</v>
      </c>
      <c r="D79" s="5" t="str">
        <f>"1998"</f>
        <v>1998</v>
      </c>
      <c r="E79" s="5" t="str">
        <f>"10,00"</f>
        <v>10,00</v>
      </c>
      <c r="F79" s="5" t="str">
        <f>"2030"</f>
        <v>2030</v>
      </c>
      <c r="G79" s="5" t="str">
        <f t="shared" si="103"/>
        <v>да</v>
      </c>
      <c r="H79" s="5" t="str">
        <f>"1998"</f>
        <v>1998</v>
      </c>
      <c r="I79" s="5" t="str">
        <f>"10,00"</f>
        <v>10,00</v>
      </c>
      <c r="J79" s="5" t="str">
        <f>"2030"</f>
        <v>2030</v>
      </c>
      <c r="K79" s="5" t="str">
        <f>"да"</f>
        <v>да</v>
      </c>
      <c r="L79" s="5" t="str">
        <f>"1998"</f>
        <v>1998</v>
      </c>
      <c r="M79" s="5" t="str">
        <f>"10,00"</f>
        <v>10,00</v>
      </c>
      <c r="N79" s="5" t="str">
        <f>"2030"</f>
        <v>2030</v>
      </c>
      <c r="O79" s="8" t="str">
        <f>"1998"</f>
        <v>1998</v>
      </c>
      <c r="P79" s="5" t="str">
        <f>"15,00"</f>
        <v>15,00</v>
      </c>
      <c r="Q79" s="5" t="str">
        <f>"2020"</f>
        <v>2020</v>
      </c>
      <c r="R79" s="5" t="str">
        <f>"да"</f>
        <v>да</v>
      </c>
      <c r="S79" s="5" t="str">
        <f>"1998"</f>
        <v>1998</v>
      </c>
      <c r="T79" s="5" t="str">
        <f>"15,00"</f>
        <v>15,00</v>
      </c>
      <c r="U79" s="5" t="str">
        <f>"2020"</f>
        <v>2020</v>
      </c>
      <c r="V79" s="5" t="str">
        <f>"нет"</f>
        <v>нет</v>
      </c>
      <c r="W79" s="5" t="str">
        <f>"х"</f>
        <v>х</v>
      </c>
      <c r="X79" s="5" t="str">
        <f>"х"</f>
        <v>х</v>
      </c>
      <c r="Y79" s="9" t="str">
        <f>"х"</f>
        <v>х</v>
      </c>
      <c r="Z79" s="5" t="str">
        <f>"1998"</f>
        <v>1998</v>
      </c>
      <c r="AA79" s="5" t="str">
        <f>"11,00"</f>
        <v>11,00</v>
      </c>
      <c r="AB79" s="5" t="str">
        <f>"2034"</f>
        <v>2034</v>
      </c>
      <c r="AC79" s="5" t="str">
        <f t="shared" si="104"/>
        <v>нет</v>
      </c>
      <c r="AD79" s="5" t="str">
        <f>""</f>
        <v/>
      </c>
      <c r="AE79" s="5" t="str">
        <f>""</f>
        <v/>
      </c>
      <c r="AF79" s="5" t="str">
        <f>""</f>
        <v/>
      </c>
      <c r="AG79" s="5" t="str">
        <f>"нет"</f>
        <v>нет</v>
      </c>
      <c r="AH79" s="5" t="str">
        <f>""</f>
        <v/>
      </c>
      <c r="AI79" s="5" t="str">
        <f>""</f>
        <v/>
      </c>
      <c r="AJ79" s="5" t="str">
        <f>""</f>
        <v/>
      </c>
      <c r="AK79" s="8" t="str">
        <f>"1998"</f>
        <v>1998</v>
      </c>
      <c r="AL79" s="5" t="str">
        <f>"5,00"</f>
        <v>5,00</v>
      </c>
      <c r="AM79" s="5" t="str">
        <f>"2033"</f>
        <v>2033</v>
      </c>
      <c r="AN79" s="5" t="str">
        <f>"да"</f>
        <v>да</v>
      </c>
      <c r="AO79" s="5" t="str">
        <f>"1998"</f>
        <v>1998</v>
      </c>
      <c r="AP79" s="5" t="str">
        <f>"5,00"</f>
        <v>5,00</v>
      </c>
      <c r="AQ79" s="5" t="str">
        <f>"2033"</f>
        <v>2033</v>
      </c>
      <c r="AR79" s="5" t="str">
        <f>"да"</f>
        <v>да</v>
      </c>
      <c r="AS79" s="5" t="str">
        <f>"1998"</f>
        <v>1998</v>
      </c>
      <c r="AT79" s="5" t="str">
        <f>"15,00"</f>
        <v>15,00</v>
      </c>
      <c r="AU79" s="5" t="str">
        <f>"2033"</f>
        <v>2033</v>
      </c>
      <c r="AV79" s="5" t="str">
        <f>"1998"</f>
        <v>1998</v>
      </c>
      <c r="AW79" s="5" t="str">
        <f>"15,00"</f>
        <v>15,00</v>
      </c>
      <c r="AX79" s="5" t="str">
        <f>"2020"</f>
        <v>2020</v>
      </c>
      <c r="AY79" s="5" t="str">
        <f>"нет"</f>
        <v>нет</v>
      </c>
      <c r="AZ79" s="5" t="str">
        <f>"х"</f>
        <v>х</v>
      </c>
      <c r="BA79" s="5" t="str">
        <f>"х"</f>
        <v>х</v>
      </c>
      <c r="BB79" s="5" t="str">
        <f>"х"</f>
        <v>х</v>
      </c>
      <c r="BC79" s="5" t="str">
        <f>"нет"</f>
        <v>нет</v>
      </c>
      <c r="BD79" s="5" t="str">
        <f>"х"</f>
        <v>х</v>
      </c>
      <c r="BE79" s="5" t="str">
        <f>"х"</f>
        <v>х</v>
      </c>
      <c r="BF79" s="5" t="str">
        <f>"х"</f>
        <v>х</v>
      </c>
      <c r="BG79" s="5" t="str">
        <f>"1998"</f>
        <v>1998</v>
      </c>
      <c r="BH79" s="5" t="str">
        <f>"15,00"</f>
        <v>15,00</v>
      </c>
      <c r="BI79" s="5" t="str">
        <f>"2022"</f>
        <v>2022</v>
      </c>
      <c r="BJ79" s="5" t="str">
        <f t="shared" si="94"/>
        <v>нет</v>
      </c>
      <c r="BK79" s="5" t="str">
        <f>"х"</f>
        <v>х</v>
      </c>
      <c r="BL79" s="5" t="str">
        <f>"х"</f>
        <v>х</v>
      </c>
      <c r="BM79" s="5" t="str">
        <f>"х"</f>
        <v>х</v>
      </c>
      <c r="BN79" s="5" t="str">
        <f t="shared" si="95"/>
        <v>нет</v>
      </c>
      <c r="BO79" s="5" t="str">
        <f>"х"</f>
        <v>х</v>
      </c>
      <c r="BP79" s="5" t="str">
        <f>"х"</f>
        <v>х</v>
      </c>
      <c r="BQ79" s="5" t="str">
        <f>"х"</f>
        <v>х</v>
      </c>
      <c r="BR79" s="5" t="str">
        <f>"1998"</f>
        <v>1998</v>
      </c>
      <c r="BS79" s="5" t="str">
        <f>"15,00"</f>
        <v>15,00</v>
      </c>
      <c r="BT79" s="5" t="str">
        <f>"2020"</f>
        <v>2020</v>
      </c>
      <c r="BU79" s="5" t="str">
        <f t="shared" si="107"/>
        <v>нет</v>
      </c>
      <c r="BV79" s="5" t="str">
        <f t="shared" si="105"/>
        <v>x</v>
      </c>
      <c r="BW79" s="5" t="str">
        <f t="shared" si="105"/>
        <v>x</v>
      </c>
      <c r="BX79" s="5" t="str">
        <f t="shared" si="105"/>
        <v>x</v>
      </c>
      <c r="BY79" s="5" t="str">
        <f t="shared" si="101"/>
        <v>нет</v>
      </c>
      <c r="BZ79" s="5" t="str">
        <f>"1998"</f>
        <v>1998</v>
      </c>
      <c r="CA79" s="5" t="str">
        <f t="shared" si="106"/>
        <v>x</v>
      </c>
      <c r="CB79" s="5" t="str">
        <f t="shared" si="106"/>
        <v>x</v>
      </c>
      <c r="CC79" s="5" t="str">
        <f>"1998"</f>
        <v>1998</v>
      </c>
      <c r="CD79" s="5" t="str">
        <f>"10,00"</f>
        <v>10,00</v>
      </c>
      <c r="CE79" s="5" t="str">
        <f>"2035"</f>
        <v>2035</v>
      </c>
      <c r="CF79" s="5" t="str">
        <f>"1998"</f>
        <v>1998</v>
      </c>
      <c r="CG79" s="5" t="str">
        <f>"7,00"</f>
        <v>7,00</v>
      </c>
      <c r="CH79" s="5" t="str">
        <f>"2037"</f>
        <v>2037</v>
      </c>
      <c r="CI79" s="5" t="str">
        <f>"7,00"</f>
        <v>7,00</v>
      </c>
      <c r="CJ79" s="5" t="str">
        <f>"2043"</f>
        <v>2043</v>
      </c>
    </row>
    <row r="80" spans="1:88" ht="11.25" customHeight="1">
      <c r="A80" s="3" t="str">
        <f>"1.67"</f>
        <v>1.67</v>
      </c>
      <c r="B80" s="4" t="str">
        <f>"г. Грязовец, ул. Газовиков, д.37"</f>
        <v>г. Грязовец, ул. Газовиков, д.37</v>
      </c>
      <c r="C80" s="7" t="str">
        <f>"2011"</f>
        <v>2011</v>
      </c>
      <c r="D80" s="5" t="str">
        <f>""</f>
        <v/>
      </c>
      <c r="E80" s="5" t="str">
        <f>"1,00"</f>
        <v>1,00</v>
      </c>
      <c r="F80" s="5" t="str">
        <f>"2038"</f>
        <v>2038</v>
      </c>
      <c r="G80" s="5" t="str">
        <f t="shared" si="103"/>
        <v>да</v>
      </c>
      <c r="H80" s="5" t="str">
        <f>""</f>
        <v/>
      </c>
      <c r="I80" s="5" t="str">
        <f>"1,00"</f>
        <v>1,00</v>
      </c>
      <c r="J80" s="5" t="str">
        <f>"2038"</f>
        <v>2038</v>
      </c>
      <c r="K80" s="5" t="str">
        <f>"да"</f>
        <v>да</v>
      </c>
      <c r="L80" s="5" t="str">
        <f>""</f>
        <v/>
      </c>
      <c r="M80" s="5" t="str">
        <f>"1,00"</f>
        <v>1,00</v>
      </c>
      <c r="N80" s="5" t="str">
        <f>"2038"</f>
        <v>2038</v>
      </c>
      <c r="O80" s="8" t="str">
        <f>""</f>
        <v/>
      </c>
      <c r="P80" s="5" t="str">
        <f>""</f>
        <v/>
      </c>
      <c r="Q80" s="5" t="str">
        <f>""</f>
        <v/>
      </c>
      <c r="R80" s="5" t="str">
        <f>""</f>
        <v/>
      </c>
      <c r="S80" s="5" t="str">
        <f>""</f>
        <v/>
      </c>
      <c r="T80" s="5" t="str">
        <f>""</f>
        <v/>
      </c>
      <c r="U80" s="5" t="str">
        <f>""</f>
        <v/>
      </c>
      <c r="V80" s="5" t="str">
        <f>""</f>
        <v/>
      </c>
      <c r="W80" s="5" t="str">
        <f>""</f>
        <v/>
      </c>
      <c r="X80" s="5" t="str">
        <f>""</f>
        <v/>
      </c>
      <c r="Y80" s="9" t="str">
        <f>""</f>
        <v/>
      </c>
      <c r="Z80" s="5" t="str">
        <f>""</f>
        <v/>
      </c>
      <c r="AA80" s="5" t="str">
        <f>"1,00"</f>
        <v>1,00</v>
      </c>
      <c r="AB80" s="5" t="str">
        <f>"2039"</f>
        <v>2039</v>
      </c>
      <c r="AC80" s="5" t="str">
        <f>"да"</f>
        <v>да</v>
      </c>
      <c r="AD80" s="5" t="str">
        <f>""</f>
        <v/>
      </c>
      <c r="AE80" s="5" t="str">
        <f>"1,00"</f>
        <v>1,00</v>
      </c>
      <c r="AF80" s="5" t="str">
        <f>"2039"</f>
        <v>2039</v>
      </c>
      <c r="AG80" s="5" t="str">
        <f>"да"</f>
        <v>да</v>
      </c>
      <c r="AH80" s="5" t="str">
        <f>""</f>
        <v/>
      </c>
      <c r="AI80" s="5" t="str">
        <f>"1,00"</f>
        <v>1,00</v>
      </c>
      <c r="AJ80" s="5" t="str">
        <f>"2039"</f>
        <v>2039</v>
      </c>
      <c r="AK80" s="8" t="str">
        <f>""</f>
        <v/>
      </c>
      <c r="AL80" s="5" t="str">
        <f>"1,00"</f>
        <v>1,00</v>
      </c>
      <c r="AM80" s="5" t="str">
        <f>"2040"</f>
        <v>2040</v>
      </c>
      <c r="AN80" s="5" t="str">
        <f>"да"</f>
        <v>да</v>
      </c>
      <c r="AO80" s="5" t="str">
        <f>""</f>
        <v/>
      </c>
      <c r="AP80" s="5" t="str">
        <f>"1,00"</f>
        <v>1,00</v>
      </c>
      <c r="AQ80" s="5" t="str">
        <f>"2040"</f>
        <v>2040</v>
      </c>
      <c r="AR80" s="5" t="str">
        <f>"да"</f>
        <v>да</v>
      </c>
      <c r="AS80" s="5" t="str">
        <f>""</f>
        <v/>
      </c>
      <c r="AT80" s="5" t="str">
        <f>"1,00"</f>
        <v>1,00</v>
      </c>
      <c r="AU80" s="5" t="str">
        <f>"2040"</f>
        <v>2040</v>
      </c>
      <c r="AV80" s="5" t="str">
        <f>""</f>
        <v/>
      </c>
      <c r="AW80" s="5" t="str">
        <f>""</f>
        <v/>
      </c>
      <c r="AX80" s="5" t="str">
        <f>""</f>
        <v/>
      </c>
      <c r="AY80" s="5" t="str">
        <f>""</f>
        <v/>
      </c>
      <c r="AZ80" s="5" t="str">
        <f>""</f>
        <v/>
      </c>
      <c r="BA80" s="5" t="str">
        <f>""</f>
        <v/>
      </c>
      <c r="BB80" s="5" t="str">
        <f>""</f>
        <v/>
      </c>
      <c r="BC80" s="5" t="str">
        <f>""</f>
        <v/>
      </c>
      <c r="BD80" s="5" t="str">
        <f>""</f>
        <v/>
      </c>
      <c r="BE80" s="5" t="str">
        <f>""</f>
        <v/>
      </c>
      <c r="BF80" s="5" t="str">
        <f>""</f>
        <v/>
      </c>
      <c r="BG80" s="5" t="str">
        <f>""</f>
        <v/>
      </c>
      <c r="BH80" s="5" t="str">
        <f>"1,00"</f>
        <v>1,00</v>
      </c>
      <c r="BI80" s="5" t="str">
        <f>"2041"</f>
        <v>2041</v>
      </c>
      <c r="BJ80" s="5" t="str">
        <f t="shared" si="94"/>
        <v>нет</v>
      </c>
      <c r="BK80" s="5" t="str">
        <f>""</f>
        <v/>
      </c>
      <c r="BL80" s="5" t="str">
        <f>""</f>
        <v/>
      </c>
      <c r="BM80" s="5" t="str">
        <f>""</f>
        <v/>
      </c>
      <c r="BN80" s="5" t="str">
        <f t="shared" si="95"/>
        <v>нет</v>
      </c>
      <c r="BO80" s="5" t="str">
        <f>""</f>
        <v/>
      </c>
      <c r="BP80" s="5" t="str">
        <f>""</f>
        <v/>
      </c>
      <c r="BQ80" s="5" t="str">
        <f>""</f>
        <v/>
      </c>
      <c r="BR80" s="5" t="str">
        <f>""</f>
        <v/>
      </c>
      <c r="BS80" s="5" t="str">
        <f>"2,00"</f>
        <v>2,00</v>
      </c>
      <c r="BT80" s="5" t="str">
        <f>"2030"</f>
        <v>2030</v>
      </c>
      <c r="BU80" s="5" t="str">
        <f t="shared" si="107"/>
        <v>нет</v>
      </c>
      <c r="BV80" s="5" t="str">
        <f t="shared" si="105"/>
        <v>x</v>
      </c>
      <c r="BW80" s="5" t="str">
        <f t="shared" si="105"/>
        <v>x</v>
      </c>
      <c r="BX80" s="5" t="str">
        <f t="shared" si="105"/>
        <v>x</v>
      </c>
      <c r="BY80" s="5" t="str">
        <f t="shared" si="101"/>
        <v>нет</v>
      </c>
      <c r="BZ80" s="5" t="str">
        <f>"x"</f>
        <v>x</v>
      </c>
      <c r="CA80" s="5" t="str">
        <f t="shared" si="106"/>
        <v>x</v>
      </c>
      <c r="CB80" s="5" t="str">
        <f t="shared" si="106"/>
        <v>x</v>
      </c>
      <c r="CC80" s="5" t="str">
        <f>""</f>
        <v/>
      </c>
      <c r="CD80" s="5" t="str">
        <f>"1,00"</f>
        <v>1,00</v>
      </c>
      <c r="CE80" s="5" t="str">
        <f>"2044"</f>
        <v>2044</v>
      </c>
      <c r="CF80" s="5" t="str">
        <f>""</f>
        <v/>
      </c>
      <c r="CG80" s="5" t="str">
        <f>"1,00"</f>
        <v>1,00</v>
      </c>
      <c r="CH80" s="5" t="str">
        <f>"2044"</f>
        <v>2044</v>
      </c>
      <c r="CI80" s="5" t="str">
        <f>"0,00"</f>
        <v>0,00</v>
      </c>
      <c r="CJ80" s="5" t="str">
        <f>"2044"</f>
        <v>2044</v>
      </c>
    </row>
    <row r="81" spans="1:88" ht="11.25" customHeight="1">
      <c r="A81" s="3" t="str">
        <f>"1.68"</f>
        <v>1.68</v>
      </c>
      <c r="B81" s="4" t="str">
        <f>"г. Грязовец, ул. Горького, д.1"</f>
        <v>г. Грязовец, ул. Горького, д.1</v>
      </c>
      <c r="C81" s="7" t="str">
        <f>"1975"</f>
        <v>1975</v>
      </c>
      <c r="D81" s="5" t="str">
        <f>"1975"</f>
        <v>1975</v>
      </c>
      <c r="E81" s="5" t="str">
        <f>"45,00"</f>
        <v>45,00</v>
      </c>
      <c r="F81" s="5" t="str">
        <f>"2023"</f>
        <v>2023</v>
      </c>
      <c r="G81" s="5" t="str">
        <f t="shared" ref="G81:G87" si="108">"нет"</f>
        <v>нет</v>
      </c>
      <c r="H81" s="5" t="str">
        <f>""</f>
        <v/>
      </c>
      <c r="I81" s="5" t="str">
        <f>""</f>
        <v/>
      </c>
      <c r="J81" s="5" t="str">
        <f>""</f>
        <v/>
      </c>
      <c r="K81" s="5" t="str">
        <f t="shared" ref="K81:K87" si="109">"нет"</f>
        <v>нет</v>
      </c>
      <c r="L81" s="5" t="str">
        <f>""</f>
        <v/>
      </c>
      <c r="M81" s="5" t="str">
        <f>""</f>
        <v/>
      </c>
      <c r="N81" s="5" t="str">
        <f>""</f>
        <v/>
      </c>
      <c r="O81" s="8" t="str">
        <f>"1990"</f>
        <v>1990</v>
      </c>
      <c r="P81" s="5" t="str">
        <f>""</f>
        <v/>
      </c>
      <c r="Q81" s="5" t="str">
        <f>"2025"</f>
        <v>2025</v>
      </c>
      <c r="R81" s="5" t="str">
        <f>"нет"</f>
        <v>нет</v>
      </c>
      <c r="S81" s="5" t="str">
        <f>""</f>
        <v/>
      </c>
      <c r="T81" s="5" t="str">
        <f>""</f>
        <v/>
      </c>
      <c r="U81" s="5" t="str">
        <f>""</f>
        <v/>
      </c>
      <c r="V81" s="5" t="str">
        <f>"нет"</f>
        <v>нет</v>
      </c>
      <c r="W81" s="5" t="str">
        <f>""</f>
        <v/>
      </c>
      <c r="X81" s="5" t="str">
        <f>""</f>
        <v/>
      </c>
      <c r="Y81" s="9" t="str">
        <f>""</f>
        <v/>
      </c>
      <c r="Z81" s="5" t="str">
        <f>"1990"</f>
        <v>1990</v>
      </c>
      <c r="AA81" s="5" t="str">
        <f>"15,00"</f>
        <v>15,00</v>
      </c>
      <c r="AB81" s="5" t="str">
        <f>"2030"</f>
        <v>2030</v>
      </c>
      <c r="AC81" s="5" t="str">
        <f>"да"</f>
        <v>да</v>
      </c>
      <c r="AD81" s="5" t="str">
        <f>""</f>
        <v/>
      </c>
      <c r="AE81" s="5" t="str">
        <f>"10,00"</f>
        <v>10,00</v>
      </c>
      <c r="AF81" s="5" t="str">
        <f>"2030"</f>
        <v>2030</v>
      </c>
      <c r="AG81" s="5" t="str">
        <f>"нет"</f>
        <v>нет</v>
      </c>
      <c r="AH81" s="5" t="str">
        <f>""</f>
        <v/>
      </c>
      <c r="AI81" s="5" t="str">
        <f>""</f>
        <v/>
      </c>
      <c r="AJ81" s="5" t="str">
        <f>""</f>
        <v/>
      </c>
      <c r="AK81" s="8" t="str">
        <f>"1990"</f>
        <v>1990</v>
      </c>
      <c r="AL81" s="5" t="str">
        <f>"35,00"</f>
        <v>35,00</v>
      </c>
      <c r="AM81" s="5" t="str">
        <f>"2022"</f>
        <v>2022</v>
      </c>
      <c r="AN81" s="5" t="str">
        <f>"нет"</f>
        <v>нет</v>
      </c>
      <c r="AO81" s="5" t="str">
        <f>""</f>
        <v/>
      </c>
      <c r="AP81" s="5" t="str">
        <f>""</f>
        <v/>
      </c>
      <c r="AQ81" s="5" t="str">
        <f>""</f>
        <v/>
      </c>
      <c r="AR81" s="5" t="str">
        <f>"нет"</f>
        <v>нет</v>
      </c>
      <c r="AS81" s="5" t="str">
        <f>""</f>
        <v/>
      </c>
      <c r="AT81" s="5" t="str">
        <f>""</f>
        <v/>
      </c>
      <c r="AU81" s="5" t="str">
        <f>""</f>
        <v/>
      </c>
      <c r="AV81" s="5" t="str">
        <f>"1990"</f>
        <v>1990</v>
      </c>
      <c r="AW81" s="5" t="str">
        <f>"25,00"</f>
        <v>25,00</v>
      </c>
      <c r="AX81" s="5" t="str">
        <f>"2024"</f>
        <v>2024</v>
      </c>
      <c r="AY81" s="5" t="str">
        <f>"нет"</f>
        <v>нет</v>
      </c>
      <c r="AZ81" s="5" t="str">
        <f t="shared" ref="AZ81:BB91" si="110">"х"</f>
        <v>х</v>
      </c>
      <c r="BA81" s="5" t="str">
        <f t="shared" si="110"/>
        <v>х</v>
      </c>
      <c r="BB81" s="5" t="str">
        <f t="shared" si="110"/>
        <v>х</v>
      </c>
      <c r="BC81" s="5" t="str">
        <f>"нет"</f>
        <v>нет</v>
      </c>
      <c r="BD81" s="5" t="str">
        <f t="shared" ref="BD81:BF91" si="111">"х"</f>
        <v>х</v>
      </c>
      <c r="BE81" s="5" t="str">
        <f t="shared" si="111"/>
        <v>х</v>
      </c>
      <c r="BF81" s="5" t="str">
        <f t="shared" si="111"/>
        <v>х</v>
      </c>
      <c r="BG81" s="5" t="str">
        <f>"1990"</f>
        <v>1990</v>
      </c>
      <c r="BH81" s="5" t="str">
        <f>"40,00"</f>
        <v>40,00</v>
      </c>
      <c r="BI81" s="5" t="str">
        <f>"2020"</f>
        <v>2020</v>
      </c>
      <c r="BJ81" s="5" t="str">
        <f t="shared" si="94"/>
        <v>нет</v>
      </c>
      <c r="BK81" s="5" t="str">
        <f>""</f>
        <v/>
      </c>
      <c r="BL81" s="5" t="str">
        <f>""</f>
        <v/>
      </c>
      <c r="BM81" s="5" t="str">
        <f>""</f>
        <v/>
      </c>
      <c r="BN81" s="5" t="str">
        <f t="shared" si="95"/>
        <v>нет</v>
      </c>
      <c r="BO81" s="5" t="str">
        <f>""</f>
        <v/>
      </c>
      <c r="BP81" s="5" t="str">
        <f>""</f>
        <v/>
      </c>
      <c r="BQ81" s="5" t="str">
        <f>""</f>
        <v/>
      </c>
      <c r="BR81" s="5" t="str">
        <f>"1990"</f>
        <v>1990</v>
      </c>
      <c r="BS81" s="5" t="str">
        <f>"35,00"</f>
        <v>35,00</v>
      </c>
      <c r="BT81" s="5" t="str">
        <f>"2021"</f>
        <v>2021</v>
      </c>
      <c r="BU81" s="5" t="str">
        <f t="shared" si="107"/>
        <v>нет</v>
      </c>
      <c r="BV81" s="5" t="str">
        <f t="shared" si="105"/>
        <v>x</v>
      </c>
      <c r="BW81" s="5" t="str">
        <f t="shared" si="105"/>
        <v>x</v>
      </c>
      <c r="BX81" s="5" t="str">
        <f t="shared" si="105"/>
        <v>x</v>
      </c>
      <c r="BY81" s="5" t="str">
        <f t="shared" si="101"/>
        <v>нет</v>
      </c>
      <c r="BZ81" s="5" t="str">
        <f>"x"</f>
        <v>x</v>
      </c>
      <c r="CA81" s="5" t="str">
        <f t="shared" si="106"/>
        <v>x</v>
      </c>
      <c r="CB81" s="5" t="str">
        <f t="shared" si="106"/>
        <v>x</v>
      </c>
      <c r="CC81" s="5" t="str">
        <f>""</f>
        <v/>
      </c>
      <c r="CD81" s="5" t="str">
        <f>"38,00"</f>
        <v>38,00</v>
      </c>
      <c r="CE81" s="5" t="str">
        <f>"2025"</f>
        <v>2025</v>
      </c>
      <c r="CF81" s="5" t="str">
        <f>""</f>
        <v/>
      </c>
      <c r="CG81" s="5" t="str">
        <f>"36,00"</f>
        <v>36,00</v>
      </c>
      <c r="CH81" s="5" t="str">
        <f>"2027"</f>
        <v>2027</v>
      </c>
      <c r="CI81" s="5" t="str">
        <f>"42,00"</f>
        <v>42,00</v>
      </c>
      <c r="CJ81" s="5" t="str">
        <f>"2043"</f>
        <v>2043</v>
      </c>
    </row>
    <row r="82" spans="1:88" ht="11.25" customHeight="1">
      <c r="A82" s="3" t="str">
        <f>"1.69"</f>
        <v>1.69</v>
      </c>
      <c r="B82" s="4" t="str">
        <f>"г. Грязовец, ул. Горького, д.15"</f>
        <v>г. Грязовец, ул. Горького, д.15</v>
      </c>
      <c r="C82" s="7" t="str">
        <f>"1972"</f>
        <v>1972</v>
      </c>
      <c r="D82" s="5" t="str">
        <f>"1972"</f>
        <v>1972</v>
      </c>
      <c r="E82" s="5" t="str">
        <f>"50,00"</f>
        <v>50,00</v>
      </c>
      <c r="F82" s="5" t="str">
        <f>"2021"</f>
        <v>2021</v>
      </c>
      <c r="G82" s="5" t="str">
        <f t="shared" si="108"/>
        <v>нет</v>
      </c>
      <c r="H82" s="5" t="str">
        <f>""</f>
        <v/>
      </c>
      <c r="I82" s="5" t="str">
        <f>""</f>
        <v/>
      </c>
      <c r="J82" s="5" t="str">
        <f>""</f>
        <v/>
      </c>
      <c r="K82" s="5" t="str">
        <f t="shared" si="109"/>
        <v>нет</v>
      </c>
      <c r="L82" s="5" t="str">
        <f>""</f>
        <v/>
      </c>
      <c r="M82" s="5" t="str">
        <f>""</f>
        <v/>
      </c>
      <c r="N82" s="5" t="str">
        <f>""</f>
        <v/>
      </c>
      <c r="O82" s="8" t="str">
        <f>"1972"</f>
        <v>1972</v>
      </c>
      <c r="P82" s="5" t="str">
        <f>"60,00"</f>
        <v>60,00</v>
      </c>
      <c r="Q82" s="5" t="str">
        <f>"2020"</f>
        <v>2020</v>
      </c>
      <c r="R82" s="5" t="str">
        <f>"нет"</f>
        <v>нет</v>
      </c>
      <c r="S82" s="5" t="str">
        <f>""</f>
        <v/>
      </c>
      <c r="T82" s="5" t="str">
        <f>""</f>
        <v/>
      </c>
      <c r="U82" s="5" t="str">
        <f>""</f>
        <v/>
      </c>
      <c r="V82" s="5" t="str">
        <f>"нет"</f>
        <v>нет</v>
      </c>
      <c r="W82" s="5" t="str">
        <f>""</f>
        <v/>
      </c>
      <c r="X82" s="5" t="str">
        <f>""</f>
        <v/>
      </c>
      <c r="Y82" s="9" t="str">
        <f>""</f>
        <v/>
      </c>
      <c r="Z82" s="5" t="str">
        <f>"1972"</f>
        <v>1972</v>
      </c>
      <c r="AA82" s="5" t="str">
        <f>"50,00"</f>
        <v>50,00</v>
      </c>
      <c r="AB82" s="5" t="str">
        <f>"2020"</f>
        <v>2020</v>
      </c>
      <c r="AC82" s="5" t="str">
        <f>"нет"</f>
        <v>нет</v>
      </c>
      <c r="AD82" s="5" t="str">
        <f>""</f>
        <v/>
      </c>
      <c r="AE82" s="5" t="str">
        <f>""</f>
        <v/>
      </c>
      <c r="AF82" s="5" t="str">
        <f>""</f>
        <v/>
      </c>
      <c r="AG82" s="5" t="str">
        <f>"нет"</f>
        <v>нет</v>
      </c>
      <c r="AH82" s="5" t="str">
        <f>""</f>
        <v/>
      </c>
      <c r="AI82" s="5" t="str">
        <f>""</f>
        <v/>
      </c>
      <c r="AJ82" s="5" t="str">
        <f>""</f>
        <v/>
      </c>
      <c r="AK82" s="8" t="str">
        <f>"1972"</f>
        <v>1972</v>
      </c>
      <c r="AL82" s="5" t="str">
        <f>"60,00"</f>
        <v>60,00</v>
      </c>
      <c r="AM82" s="5" t="str">
        <f>"2018"</f>
        <v>2018</v>
      </c>
      <c r="AN82" s="5" t="str">
        <f>"нет"</f>
        <v>нет</v>
      </c>
      <c r="AO82" s="5" t="str">
        <f>""</f>
        <v/>
      </c>
      <c r="AP82" s="5" t="str">
        <f>""</f>
        <v/>
      </c>
      <c r="AQ82" s="5" t="str">
        <f>""</f>
        <v/>
      </c>
      <c r="AR82" s="5" t="str">
        <f>"нет"</f>
        <v>нет</v>
      </c>
      <c r="AS82" s="5" t="str">
        <f>""</f>
        <v/>
      </c>
      <c r="AT82" s="5" t="str">
        <f>""</f>
        <v/>
      </c>
      <c r="AU82" s="5" t="str">
        <f>""</f>
        <v/>
      </c>
      <c r="AV82" s="5" t="str">
        <f>"1972"</f>
        <v>1972</v>
      </c>
      <c r="AW82" s="5" t="str">
        <f>"60,00"</f>
        <v>60,00</v>
      </c>
      <c r="AX82" s="5" t="str">
        <f>"2018"</f>
        <v>2018</v>
      </c>
      <c r="AY82" s="5" t="str">
        <f>"нет"</f>
        <v>нет</v>
      </c>
      <c r="AZ82" s="5" t="str">
        <f t="shared" si="110"/>
        <v>х</v>
      </c>
      <c r="BA82" s="5" t="str">
        <f t="shared" si="110"/>
        <v>х</v>
      </c>
      <c r="BB82" s="5" t="str">
        <f t="shared" si="110"/>
        <v>х</v>
      </c>
      <c r="BC82" s="5" t="str">
        <f>"нет"</f>
        <v>нет</v>
      </c>
      <c r="BD82" s="5" t="str">
        <f t="shared" si="111"/>
        <v>х</v>
      </c>
      <c r="BE82" s="5" t="str">
        <f t="shared" si="111"/>
        <v>х</v>
      </c>
      <c r="BF82" s="5" t="str">
        <f t="shared" si="111"/>
        <v>х</v>
      </c>
      <c r="BG82" s="5" t="str">
        <f>"1972"</f>
        <v>1972</v>
      </c>
      <c r="BH82" s="5" t="str">
        <f>"45,00"</f>
        <v>45,00</v>
      </c>
      <c r="BI82" s="5" t="str">
        <f>"2019"</f>
        <v>2019</v>
      </c>
      <c r="BJ82" s="5" t="str">
        <f t="shared" si="94"/>
        <v>нет</v>
      </c>
      <c r="BK82" s="5" t="str">
        <f>""</f>
        <v/>
      </c>
      <c r="BL82" s="5" t="str">
        <f>""</f>
        <v/>
      </c>
      <c r="BM82" s="5" t="str">
        <f>""</f>
        <v/>
      </c>
      <c r="BN82" s="5" t="str">
        <f t="shared" si="95"/>
        <v>нет</v>
      </c>
      <c r="BO82" s="5" t="str">
        <f>""</f>
        <v/>
      </c>
      <c r="BP82" s="5" t="str">
        <f>""</f>
        <v/>
      </c>
      <c r="BQ82" s="5" t="str">
        <f>""</f>
        <v/>
      </c>
      <c r="BR82" s="5" t="str">
        <f>"1990"</f>
        <v>1990</v>
      </c>
      <c r="BS82" s="5" t="str">
        <f>"35,00"</f>
        <v>35,00</v>
      </c>
      <c r="BT82" s="5" t="str">
        <f>"2020"</f>
        <v>2020</v>
      </c>
      <c r="BU82" s="5" t="str">
        <f t="shared" si="107"/>
        <v>нет</v>
      </c>
      <c r="BV82" s="5" t="str">
        <f t="shared" si="105"/>
        <v>x</v>
      </c>
      <c r="BW82" s="5" t="str">
        <f t="shared" si="105"/>
        <v>x</v>
      </c>
      <c r="BX82" s="5" t="str">
        <f t="shared" si="105"/>
        <v>x</v>
      </c>
      <c r="BY82" s="5" t="str">
        <f t="shared" si="101"/>
        <v>нет</v>
      </c>
      <c r="BZ82" s="5" t="str">
        <f>"x"</f>
        <v>x</v>
      </c>
      <c r="CA82" s="5" t="str">
        <f t="shared" si="106"/>
        <v>x</v>
      </c>
      <c r="CB82" s="5" t="str">
        <f t="shared" si="106"/>
        <v>x</v>
      </c>
      <c r="CC82" s="5" t="str">
        <f>""</f>
        <v/>
      </c>
      <c r="CD82" s="5" t="str">
        <f>"30,00"</f>
        <v>30,00</v>
      </c>
      <c r="CE82" s="5" t="str">
        <f>"2025"</f>
        <v>2025</v>
      </c>
      <c r="CF82" s="5" t="str">
        <f>""</f>
        <v/>
      </c>
      <c r="CG82" s="5" t="str">
        <f>"27,00"</f>
        <v>27,00</v>
      </c>
      <c r="CH82" s="5" t="str">
        <f>"2027"</f>
        <v>2027</v>
      </c>
      <c r="CI82" s="5" t="str">
        <f>"36,00"</f>
        <v>36,00</v>
      </c>
      <c r="CJ82" s="5" t="str">
        <f>"2042"</f>
        <v>2042</v>
      </c>
    </row>
    <row r="83" spans="1:88" ht="11.25" customHeight="1">
      <c r="A83" s="3" t="str">
        <f>"1.70"</f>
        <v>1.70</v>
      </c>
      <c r="B83" s="4" t="str">
        <f>"г. Грязовец, ул. Горького, д.17"</f>
        <v>г. Грязовец, ул. Горького, д.17</v>
      </c>
      <c r="C83" s="7" t="str">
        <f>"1971"</f>
        <v>1971</v>
      </c>
      <c r="D83" s="5" t="str">
        <f>"1971"</f>
        <v>1971</v>
      </c>
      <c r="E83" s="5" t="str">
        <f>"33,00"</f>
        <v>33,00</v>
      </c>
      <c r="F83" s="5" t="str">
        <f>"2033"</f>
        <v>2033</v>
      </c>
      <c r="G83" s="5" t="str">
        <f t="shared" si="108"/>
        <v>нет</v>
      </c>
      <c r="H83" s="5" t="str">
        <f>""</f>
        <v/>
      </c>
      <c r="I83" s="5" t="str">
        <f>""</f>
        <v/>
      </c>
      <c r="J83" s="5" t="str">
        <f>""</f>
        <v/>
      </c>
      <c r="K83" s="5" t="str">
        <f t="shared" si="109"/>
        <v>нет</v>
      </c>
      <c r="L83" s="5" t="str">
        <f>""</f>
        <v/>
      </c>
      <c r="M83" s="5" t="str">
        <f>""</f>
        <v/>
      </c>
      <c r="N83" s="5" t="str">
        <f>""</f>
        <v/>
      </c>
      <c r="O83" s="8" t="str">
        <f>"1971"</f>
        <v>1971</v>
      </c>
      <c r="P83" s="5" t="str">
        <f>"33,00"</f>
        <v>33,00</v>
      </c>
      <c r="Q83" s="5" t="str">
        <f>"2020"</f>
        <v>2020</v>
      </c>
      <c r="R83" s="5" t="str">
        <f>"нет"</f>
        <v>нет</v>
      </c>
      <c r="S83" s="5" t="str">
        <f t="shared" ref="S83:U85" si="112">"х"</f>
        <v>х</v>
      </c>
      <c r="T83" s="5" t="str">
        <f t="shared" si="112"/>
        <v>х</v>
      </c>
      <c r="U83" s="5" t="str">
        <f t="shared" si="112"/>
        <v>х</v>
      </c>
      <c r="V83" s="5" t="str">
        <f>"нет"</f>
        <v>нет</v>
      </c>
      <c r="W83" s="5" t="str">
        <f t="shared" ref="W83:Y85" si="113">"х"</f>
        <v>х</v>
      </c>
      <c r="X83" s="5" t="str">
        <f t="shared" si="113"/>
        <v>х</v>
      </c>
      <c r="Y83" s="9" t="str">
        <f t="shared" si="113"/>
        <v>х</v>
      </c>
      <c r="Z83" s="5" t="str">
        <f>"1971"</f>
        <v>1971</v>
      </c>
      <c r="AA83" s="5" t="str">
        <f>"33,00"</f>
        <v>33,00</v>
      </c>
      <c r="AB83" s="5" t="str">
        <f>"2020"</f>
        <v>2020</v>
      </c>
      <c r="AC83" s="5" t="str">
        <f>"нет"</f>
        <v>нет</v>
      </c>
      <c r="AD83" s="5" t="str">
        <f>""</f>
        <v/>
      </c>
      <c r="AE83" s="5" t="str">
        <f>""</f>
        <v/>
      </c>
      <c r="AF83" s="5" t="str">
        <f>""</f>
        <v/>
      </c>
      <c r="AG83" s="5" t="str">
        <f>"нет"</f>
        <v>нет</v>
      </c>
      <c r="AH83" s="5" t="str">
        <f>""</f>
        <v/>
      </c>
      <c r="AI83" s="5" t="str">
        <f>""</f>
        <v/>
      </c>
      <c r="AJ83" s="5" t="str">
        <f>""</f>
        <v/>
      </c>
      <c r="AK83" s="8" t="str">
        <f>"1971"</f>
        <v>1971</v>
      </c>
      <c r="AL83" s="5" t="str">
        <f>"33,00"</f>
        <v>33,00</v>
      </c>
      <c r="AM83" s="5" t="str">
        <f>"2020"</f>
        <v>2020</v>
      </c>
      <c r="AN83" s="5" t="str">
        <f>"нет"</f>
        <v>нет</v>
      </c>
      <c r="AO83" s="5" t="str">
        <f t="shared" ref="AO83:AQ85" si="114">"х"</f>
        <v>х</v>
      </c>
      <c r="AP83" s="5" t="str">
        <f t="shared" si="114"/>
        <v>х</v>
      </c>
      <c r="AQ83" s="5" t="str">
        <f t="shared" si="114"/>
        <v>х</v>
      </c>
      <c r="AR83" s="5" t="str">
        <f>"нет"</f>
        <v>нет</v>
      </c>
      <c r="AS83" s="5" t="str">
        <f t="shared" ref="AS83:AU85" si="115">"х"</f>
        <v>х</v>
      </c>
      <c r="AT83" s="5" t="str">
        <f t="shared" si="115"/>
        <v>х</v>
      </c>
      <c r="AU83" s="5" t="str">
        <f t="shared" si="115"/>
        <v>х</v>
      </c>
      <c r="AV83" s="5" t="str">
        <f>"1971"</f>
        <v>1971</v>
      </c>
      <c r="AW83" s="5" t="str">
        <f>"33,00"</f>
        <v>33,00</v>
      </c>
      <c r="AX83" s="5" t="str">
        <f>"2020"</f>
        <v>2020</v>
      </c>
      <c r="AY83" s="5" t="str">
        <f>"нет"</f>
        <v>нет</v>
      </c>
      <c r="AZ83" s="5" t="str">
        <f t="shared" si="110"/>
        <v>х</v>
      </c>
      <c r="BA83" s="5" t="str">
        <f t="shared" si="110"/>
        <v>х</v>
      </c>
      <c r="BB83" s="5" t="str">
        <f t="shared" si="110"/>
        <v>х</v>
      </c>
      <c r="BC83" s="5" t="str">
        <f>"х"</f>
        <v>х</v>
      </c>
      <c r="BD83" s="5" t="str">
        <f t="shared" si="111"/>
        <v>х</v>
      </c>
      <c r="BE83" s="5" t="str">
        <f t="shared" si="111"/>
        <v>х</v>
      </c>
      <c r="BF83" s="5" t="str">
        <f t="shared" si="111"/>
        <v>х</v>
      </c>
      <c r="BG83" s="5" t="str">
        <f>"1971"</f>
        <v>1971</v>
      </c>
      <c r="BH83" s="5" t="str">
        <f>"33,00"</f>
        <v>33,00</v>
      </c>
      <c r="BI83" s="5" t="str">
        <f>"2021"</f>
        <v>2021</v>
      </c>
      <c r="BJ83" s="5" t="str">
        <f t="shared" si="94"/>
        <v>нет</v>
      </c>
      <c r="BK83" s="5" t="str">
        <f t="shared" ref="BK83:BM85" si="116">"х"</f>
        <v>х</v>
      </c>
      <c r="BL83" s="5" t="str">
        <f t="shared" si="116"/>
        <v>х</v>
      </c>
      <c r="BM83" s="5" t="str">
        <f t="shared" si="116"/>
        <v>х</v>
      </c>
      <c r="BN83" s="5" t="str">
        <f t="shared" si="95"/>
        <v>нет</v>
      </c>
      <c r="BO83" s="5" t="str">
        <f t="shared" ref="BO83:BQ85" si="117">"х"</f>
        <v>х</v>
      </c>
      <c r="BP83" s="5" t="str">
        <f t="shared" si="117"/>
        <v>х</v>
      </c>
      <c r="BQ83" s="5" t="str">
        <f t="shared" si="117"/>
        <v>х</v>
      </c>
      <c r="BR83" s="5" t="str">
        <f>"1971"</f>
        <v>1971</v>
      </c>
      <c r="BS83" s="5" t="str">
        <f>"50,00"</f>
        <v>50,00</v>
      </c>
      <c r="BT83" s="5" t="str">
        <f>"2020"</f>
        <v>2020</v>
      </c>
      <c r="BU83" s="5" t="str">
        <f t="shared" si="107"/>
        <v>нет</v>
      </c>
      <c r="BV83" s="5" t="str">
        <f t="shared" si="105"/>
        <v>x</v>
      </c>
      <c r="BW83" s="5" t="str">
        <f t="shared" si="105"/>
        <v>x</v>
      </c>
      <c r="BX83" s="5" t="str">
        <f t="shared" si="105"/>
        <v>x</v>
      </c>
      <c r="BY83" s="5" t="str">
        <f t="shared" si="101"/>
        <v>нет</v>
      </c>
      <c r="BZ83" s="5" t="str">
        <f>"1971"</f>
        <v>1971</v>
      </c>
      <c r="CA83" s="5" t="str">
        <f>"30,00"</f>
        <v>30,00</v>
      </c>
      <c r="CB83" s="5" t="str">
        <f>"x"</f>
        <v>x</v>
      </c>
      <c r="CC83" s="5" t="str">
        <f>"1971"</f>
        <v>1971</v>
      </c>
      <c r="CD83" s="5" t="str">
        <f>"50,00"</f>
        <v>50,00</v>
      </c>
      <c r="CE83" s="5" t="str">
        <f>"2021"</f>
        <v>2021</v>
      </c>
      <c r="CF83" s="5" t="str">
        <f>"1971"</f>
        <v>1971</v>
      </c>
      <c r="CG83" s="5" t="str">
        <f>"50,00"</f>
        <v>50,00</v>
      </c>
      <c r="CH83" s="5" t="str">
        <f>"2022"</f>
        <v>2022</v>
      </c>
      <c r="CI83" s="5" t="str">
        <f>"33,00"</f>
        <v>33,00</v>
      </c>
      <c r="CJ83" s="5" t="str">
        <f>"2042"</f>
        <v>2042</v>
      </c>
    </row>
    <row r="84" spans="1:88" ht="11.25" customHeight="1">
      <c r="A84" s="3" t="str">
        <f>"1.71"</f>
        <v>1.71</v>
      </c>
      <c r="B84" s="4" t="str">
        <f>"г. Грязовец, ул. Горького, д.24"</f>
        <v>г. Грязовец, ул. Горького, д.24</v>
      </c>
      <c r="C84" s="7" t="str">
        <f>"1907"</f>
        <v>1907</v>
      </c>
      <c r="D84" s="5" t="str">
        <f>"1996"</f>
        <v>1996</v>
      </c>
      <c r="E84" s="5" t="str">
        <f>"5,00"</f>
        <v>5,00</v>
      </c>
      <c r="F84" s="5" t="str">
        <f>"2025"</f>
        <v>2025</v>
      </c>
      <c r="G84" s="5" t="str">
        <f t="shared" si="108"/>
        <v>нет</v>
      </c>
      <c r="H84" s="5" t="str">
        <f>""</f>
        <v/>
      </c>
      <c r="I84" s="5" t="str">
        <f>""</f>
        <v/>
      </c>
      <c r="J84" s="5" t="str">
        <f>""</f>
        <v/>
      </c>
      <c r="K84" s="5" t="str">
        <f t="shared" si="109"/>
        <v>нет</v>
      </c>
      <c r="L84" s="5" t="str">
        <f>""</f>
        <v/>
      </c>
      <c r="M84" s="5" t="str">
        <f>""</f>
        <v/>
      </c>
      <c r="N84" s="5" t="str">
        <f>""</f>
        <v/>
      </c>
      <c r="O84" s="8" t="str">
        <f>"1996"</f>
        <v>1996</v>
      </c>
      <c r="P84" s="5" t="str">
        <f>"15,00"</f>
        <v>15,00</v>
      </c>
      <c r="Q84" s="5" t="str">
        <f>"2025"</f>
        <v>2025</v>
      </c>
      <c r="R84" s="5" t="str">
        <f>"нет"</f>
        <v>нет</v>
      </c>
      <c r="S84" s="5" t="str">
        <f t="shared" si="112"/>
        <v>х</v>
      </c>
      <c r="T84" s="5" t="str">
        <f t="shared" si="112"/>
        <v>х</v>
      </c>
      <c r="U84" s="5" t="str">
        <f t="shared" si="112"/>
        <v>х</v>
      </c>
      <c r="V84" s="5" t="str">
        <f>"нет"</f>
        <v>нет</v>
      </c>
      <c r="W84" s="5" t="str">
        <f t="shared" si="113"/>
        <v>х</v>
      </c>
      <c r="X84" s="5" t="str">
        <f t="shared" si="113"/>
        <v>х</v>
      </c>
      <c r="Y84" s="9" t="str">
        <f t="shared" si="113"/>
        <v>х</v>
      </c>
      <c r="Z84" s="5" t="str">
        <f>"1996"</f>
        <v>1996</v>
      </c>
      <c r="AA84" s="5" t="str">
        <f>"10,00"</f>
        <v>10,00</v>
      </c>
      <c r="AB84" s="5" t="str">
        <f>"2025"</f>
        <v>2025</v>
      </c>
      <c r="AC84" s="5" t="str">
        <f>"нет"</f>
        <v>нет</v>
      </c>
      <c r="AD84" s="5" t="str">
        <f>""</f>
        <v/>
      </c>
      <c r="AE84" s="5" t="str">
        <f>""</f>
        <v/>
      </c>
      <c r="AF84" s="5" t="str">
        <f>""</f>
        <v/>
      </c>
      <c r="AG84" s="5" t="str">
        <f>"нет"</f>
        <v>нет</v>
      </c>
      <c r="AH84" s="5" t="str">
        <f>""</f>
        <v/>
      </c>
      <c r="AI84" s="5" t="str">
        <f>""</f>
        <v/>
      </c>
      <c r="AJ84" s="5" t="str">
        <f>""</f>
        <v/>
      </c>
      <c r="AK84" s="8" t="str">
        <f>"1996"</f>
        <v>1996</v>
      </c>
      <c r="AL84" s="5" t="str">
        <f>"10,00"</f>
        <v>10,00</v>
      </c>
      <c r="AM84" s="5" t="str">
        <f>"2025"</f>
        <v>2025</v>
      </c>
      <c r="AN84" s="5" t="str">
        <f>"нет"</f>
        <v>нет</v>
      </c>
      <c r="AO84" s="5" t="str">
        <f t="shared" si="114"/>
        <v>х</v>
      </c>
      <c r="AP84" s="5" t="str">
        <f t="shared" si="114"/>
        <v>х</v>
      </c>
      <c r="AQ84" s="5" t="str">
        <f t="shared" si="114"/>
        <v>х</v>
      </c>
      <c r="AR84" s="5" t="str">
        <f>"нет"</f>
        <v>нет</v>
      </c>
      <c r="AS84" s="5" t="str">
        <f t="shared" si="115"/>
        <v>х</v>
      </c>
      <c r="AT84" s="5" t="str">
        <f t="shared" si="115"/>
        <v>х</v>
      </c>
      <c r="AU84" s="5" t="str">
        <f t="shared" si="115"/>
        <v>х</v>
      </c>
      <c r="AV84" s="5" t="str">
        <f>"1996"</f>
        <v>1996</v>
      </c>
      <c r="AW84" s="5" t="str">
        <f>"10,00"</f>
        <v>10,00</v>
      </c>
      <c r="AX84" s="5" t="str">
        <f>"2025"</f>
        <v>2025</v>
      </c>
      <c r="AY84" s="5" t="str">
        <f>"нет"</f>
        <v>нет</v>
      </c>
      <c r="AZ84" s="5" t="str">
        <f t="shared" si="110"/>
        <v>х</v>
      </c>
      <c r="BA84" s="5" t="str">
        <f t="shared" si="110"/>
        <v>х</v>
      </c>
      <c r="BB84" s="5" t="str">
        <f t="shared" si="110"/>
        <v>х</v>
      </c>
      <c r="BC84" s="5" t="str">
        <f>"нет"</f>
        <v>нет</v>
      </c>
      <c r="BD84" s="5" t="str">
        <f t="shared" si="111"/>
        <v>х</v>
      </c>
      <c r="BE84" s="5" t="str">
        <f t="shared" si="111"/>
        <v>х</v>
      </c>
      <c r="BF84" s="5" t="str">
        <f t="shared" si="111"/>
        <v>х</v>
      </c>
      <c r="BG84" s="5" t="str">
        <f>"1996"</f>
        <v>1996</v>
      </c>
      <c r="BH84" s="5" t="str">
        <f>"10,00"</f>
        <v>10,00</v>
      </c>
      <c r="BI84" s="5" t="str">
        <f>"2025"</f>
        <v>2025</v>
      </c>
      <c r="BJ84" s="5" t="str">
        <f t="shared" si="94"/>
        <v>нет</v>
      </c>
      <c r="BK84" s="5" t="str">
        <f t="shared" si="116"/>
        <v>х</v>
      </c>
      <c r="BL84" s="5" t="str">
        <f t="shared" si="116"/>
        <v>х</v>
      </c>
      <c r="BM84" s="5" t="str">
        <f t="shared" si="116"/>
        <v>х</v>
      </c>
      <c r="BN84" s="5" t="str">
        <f t="shared" si="95"/>
        <v>нет</v>
      </c>
      <c r="BO84" s="5" t="str">
        <f t="shared" si="117"/>
        <v>х</v>
      </c>
      <c r="BP84" s="5" t="str">
        <f t="shared" si="117"/>
        <v>х</v>
      </c>
      <c r="BQ84" s="5" t="str">
        <f t="shared" si="117"/>
        <v>х</v>
      </c>
      <c r="BR84" s="5" t="str">
        <f>"1996"</f>
        <v>1996</v>
      </c>
      <c r="BS84" s="5" t="str">
        <f>"15,00"</f>
        <v>15,00</v>
      </c>
      <c r="BT84" s="5" t="str">
        <f>"2025"</f>
        <v>2025</v>
      </c>
      <c r="BU84" s="5" t="str">
        <f t="shared" si="107"/>
        <v>нет</v>
      </c>
      <c r="BV84" s="5" t="str">
        <f t="shared" si="105"/>
        <v>x</v>
      </c>
      <c r="BW84" s="5" t="str">
        <f t="shared" si="105"/>
        <v>x</v>
      </c>
      <c r="BX84" s="5" t="str">
        <f t="shared" si="105"/>
        <v>x</v>
      </c>
      <c r="BY84" s="5" t="str">
        <f t="shared" si="101"/>
        <v>нет</v>
      </c>
      <c r="BZ84" s="5" t="str">
        <f>"1996"</f>
        <v>1996</v>
      </c>
      <c r="CA84" s="5" t="str">
        <f>"15,00"</f>
        <v>15,00</v>
      </c>
      <c r="CB84" s="5" t="str">
        <f>"2025"</f>
        <v>2025</v>
      </c>
      <c r="CC84" s="5" t="str">
        <f>"1996"</f>
        <v>1996</v>
      </c>
      <c r="CD84" s="5" t="str">
        <f>"15,00"</f>
        <v>15,00</v>
      </c>
      <c r="CE84" s="5" t="str">
        <f>"2025"</f>
        <v>2025</v>
      </c>
      <c r="CF84" s="5" t="str">
        <f>"1996"</f>
        <v>1996</v>
      </c>
      <c r="CG84" s="5" t="str">
        <f>"15,00"</f>
        <v>15,00</v>
      </c>
      <c r="CH84" s="5" t="str">
        <f>"2025"</f>
        <v>2025</v>
      </c>
      <c r="CI84" s="5" t="str">
        <f>"10,00"</f>
        <v>10,00</v>
      </c>
      <c r="CJ84" s="5" t="str">
        <f>"2044"</f>
        <v>2044</v>
      </c>
    </row>
    <row r="85" spans="1:88" ht="11.25" customHeight="1">
      <c r="A85" s="3" t="str">
        <f>"1.72"</f>
        <v>1.72</v>
      </c>
      <c r="B85" s="4" t="str">
        <f>"г. Грязовец, ул. Горького, д.48"</f>
        <v>г. Грязовец, ул. Горького, д.48</v>
      </c>
      <c r="C85" s="7" t="str">
        <f>"1974"</f>
        <v>1974</v>
      </c>
      <c r="D85" s="5" t="str">
        <f>"1974"</f>
        <v>1974</v>
      </c>
      <c r="E85" s="5" t="str">
        <f>"40,00"</f>
        <v>40,00</v>
      </c>
      <c r="F85" s="5" t="str">
        <f>"2025"</f>
        <v>2025</v>
      </c>
      <c r="G85" s="5" t="str">
        <f t="shared" si="108"/>
        <v>нет</v>
      </c>
      <c r="H85" s="5" t="str">
        <f>""</f>
        <v/>
      </c>
      <c r="I85" s="5" t="str">
        <f>""</f>
        <v/>
      </c>
      <c r="J85" s="5" t="str">
        <f>""</f>
        <v/>
      </c>
      <c r="K85" s="5" t="str">
        <f t="shared" si="109"/>
        <v>нет</v>
      </c>
      <c r="L85" s="5" t="str">
        <f>""</f>
        <v/>
      </c>
      <c r="M85" s="5" t="str">
        <f>""</f>
        <v/>
      </c>
      <c r="N85" s="5" t="str">
        <f>""</f>
        <v/>
      </c>
      <c r="O85" s="8" t="str">
        <f>"х"</f>
        <v>х</v>
      </c>
      <c r="P85" s="5" t="str">
        <f>"х"</f>
        <v>х</v>
      </c>
      <c r="Q85" s="5" t="str">
        <f>"х"</f>
        <v>х</v>
      </c>
      <c r="R85" s="5" t="str">
        <f>"х"</f>
        <v>х</v>
      </c>
      <c r="S85" s="5" t="str">
        <f t="shared" si="112"/>
        <v>х</v>
      </c>
      <c r="T85" s="5" t="str">
        <f t="shared" si="112"/>
        <v>х</v>
      </c>
      <c r="U85" s="5" t="str">
        <f t="shared" si="112"/>
        <v>х</v>
      </c>
      <c r="V85" s="5" t="str">
        <f>"х"</f>
        <v>х</v>
      </c>
      <c r="W85" s="5" t="str">
        <f t="shared" si="113"/>
        <v>х</v>
      </c>
      <c r="X85" s="5" t="str">
        <f t="shared" si="113"/>
        <v>х</v>
      </c>
      <c r="Y85" s="9" t="str">
        <f t="shared" si="113"/>
        <v>х</v>
      </c>
      <c r="Z85" s="5" t="str">
        <f t="shared" ref="Z85:AN85" si="118">"х"</f>
        <v>х</v>
      </c>
      <c r="AA85" s="5" t="str">
        <f t="shared" si="118"/>
        <v>х</v>
      </c>
      <c r="AB85" s="5" t="str">
        <f t="shared" si="118"/>
        <v>х</v>
      </c>
      <c r="AC85" s="5" t="str">
        <f t="shared" si="118"/>
        <v>х</v>
      </c>
      <c r="AD85" s="5" t="str">
        <f t="shared" si="118"/>
        <v>х</v>
      </c>
      <c r="AE85" s="5" t="str">
        <f t="shared" si="118"/>
        <v>х</v>
      </c>
      <c r="AF85" s="5" t="str">
        <f t="shared" si="118"/>
        <v>х</v>
      </c>
      <c r="AG85" s="5" t="str">
        <f t="shared" si="118"/>
        <v>х</v>
      </c>
      <c r="AH85" s="5" t="str">
        <f t="shared" si="118"/>
        <v>х</v>
      </c>
      <c r="AI85" s="5" t="str">
        <f t="shared" si="118"/>
        <v>х</v>
      </c>
      <c r="AJ85" s="5" t="str">
        <f t="shared" si="118"/>
        <v>х</v>
      </c>
      <c r="AK85" s="8" t="str">
        <f t="shared" si="118"/>
        <v>х</v>
      </c>
      <c r="AL85" s="5" t="str">
        <f t="shared" si="118"/>
        <v>х</v>
      </c>
      <c r="AM85" s="5" t="str">
        <f t="shared" si="118"/>
        <v>х</v>
      </c>
      <c r="AN85" s="5" t="str">
        <f t="shared" si="118"/>
        <v>х</v>
      </c>
      <c r="AO85" s="5" t="str">
        <f t="shared" si="114"/>
        <v>х</v>
      </c>
      <c r="AP85" s="5" t="str">
        <f t="shared" si="114"/>
        <v>х</v>
      </c>
      <c r="AQ85" s="5" t="str">
        <f t="shared" si="114"/>
        <v>х</v>
      </c>
      <c r="AR85" s="5" t="str">
        <f>"х"</f>
        <v>х</v>
      </c>
      <c r="AS85" s="5" t="str">
        <f t="shared" si="115"/>
        <v>х</v>
      </c>
      <c r="AT85" s="5" t="str">
        <f t="shared" si="115"/>
        <v>х</v>
      </c>
      <c r="AU85" s="5" t="str">
        <f t="shared" si="115"/>
        <v>х</v>
      </c>
      <c r="AV85" s="5" t="str">
        <f>"х"</f>
        <v>х</v>
      </c>
      <c r="AW85" s="5" t="str">
        <f>"х"</f>
        <v>х</v>
      </c>
      <c r="AX85" s="5" t="str">
        <f>"х"</f>
        <v>х</v>
      </c>
      <c r="AY85" s="5" t="str">
        <f>"х"</f>
        <v>х</v>
      </c>
      <c r="AZ85" s="5" t="str">
        <f t="shared" si="110"/>
        <v>х</v>
      </c>
      <c r="BA85" s="5" t="str">
        <f t="shared" si="110"/>
        <v>х</v>
      </c>
      <c r="BB85" s="5" t="str">
        <f t="shared" si="110"/>
        <v>х</v>
      </c>
      <c r="BC85" s="5" t="str">
        <f>"х"</f>
        <v>х</v>
      </c>
      <c r="BD85" s="5" t="str">
        <f t="shared" si="111"/>
        <v>х</v>
      </c>
      <c r="BE85" s="5" t="str">
        <f t="shared" si="111"/>
        <v>х</v>
      </c>
      <c r="BF85" s="5" t="str">
        <f t="shared" si="111"/>
        <v>х</v>
      </c>
      <c r="BG85" s="5" t="str">
        <f>"х"</f>
        <v>х</v>
      </c>
      <c r="BH85" s="5" t="str">
        <f>"х"</f>
        <v>х</v>
      </c>
      <c r="BI85" s="5" t="str">
        <f>"х"</f>
        <v>х</v>
      </c>
      <c r="BJ85" s="5" t="str">
        <f>"х"</f>
        <v>х</v>
      </c>
      <c r="BK85" s="5" t="str">
        <f t="shared" si="116"/>
        <v>х</v>
      </c>
      <c r="BL85" s="5" t="str">
        <f t="shared" si="116"/>
        <v>х</v>
      </c>
      <c r="BM85" s="5" t="str">
        <f t="shared" si="116"/>
        <v>х</v>
      </c>
      <c r="BN85" s="5" t="str">
        <f>"х"</f>
        <v>х</v>
      </c>
      <c r="BO85" s="5" t="str">
        <f t="shared" si="117"/>
        <v>х</v>
      </c>
      <c r="BP85" s="5" t="str">
        <f t="shared" si="117"/>
        <v>х</v>
      </c>
      <c r="BQ85" s="5" t="str">
        <f t="shared" si="117"/>
        <v>х</v>
      </c>
      <c r="BR85" s="5" t="str">
        <f>"1974"</f>
        <v>1974</v>
      </c>
      <c r="BS85" s="5" t="str">
        <f>"60,00"</f>
        <v>60,00</v>
      </c>
      <c r="BT85" s="5" t="str">
        <f>"2025"</f>
        <v>2025</v>
      </c>
      <c r="BU85" s="5" t="str">
        <f t="shared" si="107"/>
        <v>нет</v>
      </c>
      <c r="BV85" s="5" t="str">
        <f t="shared" si="105"/>
        <v>x</v>
      </c>
      <c r="BW85" s="5" t="str">
        <f t="shared" si="105"/>
        <v>x</v>
      </c>
      <c r="BX85" s="5" t="str">
        <f t="shared" si="105"/>
        <v>x</v>
      </c>
      <c r="BY85" s="5" t="str">
        <f t="shared" si="101"/>
        <v>нет</v>
      </c>
      <c r="BZ85" s="5" t="str">
        <f>"x"</f>
        <v>x</v>
      </c>
      <c r="CA85" s="5" t="str">
        <f>"x"</f>
        <v>x</v>
      </c>
      <c r="CB85" s="5" t="str">
        <f>"x"</f>
        <v>x</v>
      </c>
      <c r="CC85" s="5" t="str">
        <f>"1974"</f>
        <v>1974</v>
      </c>
      <c r="CD85" s="5" t="str">
        <f>"60,00"</f>
        <v>60,00</v>
      </c>
      <c r="CE85" s="5" t="str">
        <f>"2025"</f>
        <v>2025</v>
      </c>
      <c r="CF85" s="5" t="str">
        <f>"1974"</f>
        <v>1974</v>
      </c>
      <c r="CG85" s="5" t="str">
        <f>"50,00"</f>
        <v>50,00</v>
      </c>
      <c r="CH85" s="5" t="str">
        <f>"2040"</f>
        <v>2040</v>
      </c>
      <c r="CI85" s="5" t="str">
        <f>"42,00"</f>
        <v>42,00</v>
      </c>
      <c r="CJ85" s="5" t="str">
        <f>"2020"</f>
        <v>2020</v>
      </c>
    </row>
    <row r="86" spans="1:88" ht="11.25" customHeight="1">
      <c r="A86" s="3" t="str">
        <f>"1.73"</f>
        <v>1.73</v>
      </c>
      <c r="B86" s="4" t="str">
        <f>"г. Грязовец, ул. Горького, д.5"</f>
        <v>г. Грязовец, ул. Горького, д.5</v>
      </c>
      <c r="C86" s="7" t="str">
        <f>"1978"</f>
        <v>1978</v>
      </c>
      <c r="D86" s="5" t="str">
        <f>""</f>
        <v/>
      </c>
      <c r="E86" s="5" t="str">
        <f>"30,00"</f>
        <v>30,00</v>
      </c>
      <c r="F86" s="5" t="str">
        <f>"2023"</f>
        <v>2023</v>
      </c>
      <c r="G86" s="5" t="str">
        <f t="shared" si="108"/>
        <v>нет</v>
      </c>
      <c r="H86" s="5" t="str">
        <f>""</f>
        <v/>
      </c>
      <c r="I86" s="5" t="str">
        <f>""</f>
        <v/>
      </c>
      <c r="J86" s="5" t="str">
        <f>""</f>
        <v/>
      </c>
      <c r="K86" s="5" t="str">
        <f t="shared" si="109"/>
        <v>нет</v>
      </c>
      <c r="L86" s="5" t="str">
        <f>""</f>
        <v/>
      </c>
      <c r="M86" s="5" t="str">
        <f>""</f>
        <v/>
      </c>
      <c r="N86" s="5" t="str">
        <f>""</f>
        <v/>
      </c>
      <c r="O86" s="8" t="str">
        <f>"1978"</f>
        <v>1978</v>
      </c>
      <c r="P86" s="5" t="str">
        <f>"40,00"</f>
        <v>40,00</v>
      </c>
      <c r="Q86" s="5" t="str">
        <f>"2019"</f>
        <v>2019</v>
      </c>
      <c r="R86" s="5" t="str">
        <f>"нет"</f>
        <v>нет</v>
      </c>
      <c r="S86" s="5" t="str">
        <f>""</f>
        <v/>
      </c>
      <c r="T86" s="5" t="str">
        <f>""</f>
        <v/>
      </c>
      <c r="U86" s="5" t="str">
        <f>""</f>
        <v/>
      </c>
      <c r="V86" s="5" t="str">
        <f>"нет"</f>
        <v>нет</v>
      </c>
      <c r="W86" s="5" t="str">
        <f>""</f>
        <v/>
      </c>
      <c r="X86" s="5" t="str">
        <f>""</f>
        <v/>
      </c>
      <c r="Y86" s="9" t="str">
        <f>""</f>
        <v/>
      </c>
      <c r="Z86" s="5" t="str">
        <f>"1978"</f>
        <v>1978</v>
      </c>
      <c r="AA86" s="5" t="str">
        <f>"30,00"</f>
        <v>30,00</v>
      </c>
      <c r="AB86" s="5" t="str">
        <f>"2020"</f>
        <v>2020</v>
      </c>
      <c r="AC86" s="5" t="str">
        <f>"нет"</f>
        <v>нет</v>
      </c>
      <c r="AD86" s="5" t="str">
        <f>""</f>
        <v/>
      </c>
      <c r="AE86" s="5" t="str">
        <f>""</f>
        <v/>
      </c>
      <c r="AF86" s="5" t="str">
        <f>""</f>
        <v/>
      </c>
      <c r="AG86" s="5" t="str">
        <f>"нет"</f>
        <v>нет</v>
      </c>
      <c r="AH86" s="5" t="str">
        <f>""</f>
        <v/>
      </c>
      <c r="AI86" s="5" t="str">
        <f>""</f>
        <v/>
      </c>
      <c r="AJ86" s="5" t="str">
        <f>""</f>
        <v/>
      </c>
      <c r="AK86" s="8" t="str">
        <f>"1978"</f>
        <v>1978</v>
      </c>
      <c r="AL86" s="5" t="str">
        <f>"35,00"</f>
        <v>35,00</v>
      </c>
      <c r="AM86" s="5" t="str">
        <f>"2020"</f>
        <v>2020</v>
      </c>
      <c r="AN86" s="5" t="str">
        <f>"нет"</f>
        <v>нет</v>
      </c>
      <c r="AO86" s="5" t="str">
        <f>""</f>
        <v/>
      </c>
      <c r="AP86" s="5" t="str">
        <f>""</f>
        <v/>
      </c>
      <c r="AQ86" s="5" t="str">
        <f>""</f>
        <v/>
      </c>
      <c r="AR86" s="5" t="str">
        <f>"нет"</f>
        <v>нет</v>
      </c>
      <c r="AS86" s="5" t="str">
        <f>""</f>
        <v/>
      </c>
      <c r="AT86" s="5" t="str">
        <f>""</f>
        <v/>
      </c>
      <c r="AU86" s="5" t="str">
        <f>""</f>
        <v/>
      </c>
      <c r="AV86" s="5" t="str">
        <f t="shared" ref="AV86:AX91" si="119">"х"</f>
        <v>х</v>
      </c>
      <c r="AW86" s="5" t="str">
        <f t="shared" si="119"/>
        <v>х</v>
      </c>
      <c r="AX86" s="5" t="str">
        <f t="shared" si="119"/>
        <v>х</v>
      </c>
      <c r="AY86" s="5" t="str">
        <f>"нет"</f>
        <v>нет</v>
      </c>
      <c r="AZ86" s="5" t="str">
        <f t="shared" si="110"/>
        <v>х</v>
      </c>
      <c r="BA86" s="5" t="str">
        <f t="shared" si="110"/>
        <v>х</v>
      </c>
      <c r="BB86" s="5" t="str">
        <f t="shared" si="110"/>
        <v>х</v>
      </c>
      <c r="BC86" s="5" t="str">
        <f>"нет"</f>
        <v>нет</v>
      </c>
      <c r="BD86" s="5" t="str">
        <f t="shared" si="111"/>
        <v>х</v>
      </c>
      <c r="BE86" s="5" t="str">
        <f t="shared" si="111"/>
        <v>х</v>
      </c>
      <c r="BF86" s="5" t="str">
        <f t="shared" si="111"/>
        <v>х</v>
      </c>
      <c r="BG86" s="5" t="str">
        <f>"1978"</f>
        <v>1978</v>
      </c>
      <c r="BH86" s="5" t="str">
        <f>"40,00"</f>
        <v>40,00</v>
      </c>
      <c r="BI86" s="5" t="str">
        <f>"2020"</f>
        <v>2020</v>
      </c>
      <c r="BJ86" s="5" t="str">
        <f>"нет"</f>
        <v>нет</v>
      </c>
      <c r="BK86" s="5" t="str">
        <f>""</f>
        <v/>
      </c>
      <c r="BL86" s="5" t="str">
        <f>""</f>
        <v/>
      </c>
      <c r="BM86" s="5" t="str">
        <f>""</f>
        <v/>
      </c>
      <c r="BN86" s="5" t="str">
        <f>"нет"</f>
        <v>нет</v>
      </c>
      <c r="BO86" s="5" t="str">
        <f>""</f>
        <v/>
      </c>
      <c r="BP86" s="5" t="str">
        <f>""</f>
        <v/>
      </c>
      <c r="BQ86" s="5" t="str">
        <f>""</f>
        <v/>
      </c>
      <c r="BR86" s="5" t="str">
        <f>"1978"</f>
        <v>1978</v>
      </c>
      <c r="BS86" s="5" t="str">
        <f>"60,00"</f>
        <v>60,00</v>
      </c>
      <c r="BT86" s="5" t="str">
        <f>"2021"</f>
        <v>2021</v>
      </c>
      <c r="BU86" s="5" t="str">
        <f t="shared" si="107"/>
        <v>нет</v>
      </c>
      <c r="BV86" s="5" t="str">
        <f t="shared" si="105"/>
        <v>x</v>
      </c>
      <c r="BW86" s="5" t="str">
        <f t="shared" si="105"/>
        <v>x</v>
      </c>
      <c r="BX86" s="5" t="str">
        <f t="shared" si="105"/>
        <v>x</v>
      </c>
      <c r="BY86" s="5" t="str">
        <f t="shared" si="101"/>
        <v>нет</v>
      </c>
      <c r="BZ86" s="5" t="str">
        <f>"1978"</f>
        <v>1978</v>
      </c>
      <c r="CA86" s="5" t="str">
        <f>"25,00"</f>
        <v>25,00</v>
      </c>
      <c r="CB86" s="5" t="str">
        <f>"2020"</f>
        <v>2020</v>
      </c>
      <c r="CC86" s="5" t="str">
        <f>"1978"</f>
        <v>1978</v>
      </c>
      <c r="CD86" s="5" t="str">
        <f>"50,00"</f>
        <v>50,00</v>
      </c>
      <c r="CE86" s="5" t="str">
        <f>"2020"</f>
        <v>2020</v>
      </c>
      <c r="CF86" s="5" t="str">
        <f>"1978"</f>
        <v>1978</v>
      </c>
      <c r="CG86" s="5" t="str">
        <f>"40,00"</f>
        <v>40,00</v>
      </c>
      <c r="CH86" s="5" t="str">
        <f>"2030"</f>
        <v>2030</v>
      </c>
      <c r="CI86" s="5" t="str">
        <f>"30,00"</f>
        <v>30,00</v>
      </c>
      <c r="CJ86" s="5" t="str">
        <f>"2042"</f>
        <v>2042</v>
      </c>
    </row>
    <row r="87" spans="1:88" ht="11.25" customHeight="1">
      <c r="A87" s="3" t="str">
        <f>"1.74"</f>
        <v>1.74</v>
      </c>
      <c r="B87" s="4" t="str">
        <f>"г. Грязовец, ул. Горького, д.57"</f>
        <v>г. Грязовец, ул. Горького, д.57</v>
      </c>
      <c r="C87" s="7" t="str">
        <f>"1917"</f>
        <v>1917</v>
      </c>
      <c r="D87" s="5" t="str">
        <f>"1979"</f>
        <v>1979</v>
      </c>
      <c r="E87" s="5" t="str">
        <f>"50,00"</f>
        <v>50,00</v>
      </c>
      <c r="F87" s="5" t="str">
        <f>"2020"</f>
        <v>2020</v>
      </c>
      <c r="G87" s="5" t="str">
        <f t="shared" si="108"/>
        <v>нет</v>
      </c>
      <c r="H87" s="5" t="str">
        <f>""</f>
        <v/>
      </c>
      <c r="I87" s="5" t="str">
        <f>""</f>
        <v/>
      </c>
      <c r="J87" s="5" t="str">
        <f>""</f>
        <v/>
      </c>
      <c r="K87" s="5" t="str">
        <f t="shared" si="109"/>
        <v>нет</v>
      </c>
      <c r="L87" s="5" t="str">
        <f>""</f>
        <v/>
      </c>
      <c r="M87" s="5" t="str">
        <f>""</f>
        <v/>
      </c>
      <c r="N87" s="5" t="str">
        <f>""</f>
        <v/>
      </c>
      <c r="O87" s="8" t="str">
        <f t="shared" ref="O87:AU87" si="120">"х"</f>
        <v>х</v>
      </c>
      <c r="P87" s="5" t="str">
        <f t="shared" si="120"/>
        <v>х</v>
      </c>
      <c r="Q87" s="5" t="str">
        <f t="shared" si="120"/>
        <v>х</v>
      </c>
      <c r="R87" s="5" t="str">
        <f t="shared" si="120"/>
        <v>х</v>
      </c>
      <c r="S87" s="5" t="str">
        <f t="shared" si="120"/>
        <v>х</v>
      </c>
      <c r="T87" s="5" t="str">
        <f t="shared" si="120"/>
        <v>х</v>
      </c>
      <c r="U87" s="5" t="str">
        <f t="shared" si="120"/>
        <v>х</v>
      </c>
      <c r="V87" s="5" t="str">
        <f t="shared" si="120"/>
        <v>х</v>
      </c>
      <c r="W87" s="5" t="str">
        <f t="shared" si="120"/>
        <v>х</v>
      </c>
      <c r="X87" s="5" t="str">
        <f t="shared" si="120"/>
        <v>х</v>
      </c>
      <c r="Y87" s="9" t="str">
        <f t="shared" si="120"/>
        <v>х</v>
      </c>
      <c r="Z87" s="5" t="str">
        <f t="shared" si="120"/>
        <v>х</v>
      </c>
      <c r="AA87" s="5" t="str">
        <f t="shared" si="120"/>
        <v>х</v>
      </c>
      <c r="AB87" s="5" t="str">
        <f t="shared" si="120"/>
        <v>х</v>
      </c>
      <c r="AC87" s="5" t="str">
        <f t="shared" si="120"/>
        <v>х</v>
      </c>
      <c r="AD87" s="5" t="str">
        <f t="shared" si="120"/>
        <v>х</v>
      </c>
      <c r="AE87" s="5" t="str">
        <f t="shared" si="120"/>
        <v>х</v>
      </c>
      <c r="AF87" s="5" t="str">
        <f t="shared" si="120"/>
        <v>х</v>
      </c>
      <c r="AG87" s="5" t="str">
        <f t="shared" si="120"/>
        <v>х</v>
      </c>
      <c r="AH87" s="5" t="str">
        <f t="shared" si="120"/>
        <v>х</v>
      </c>
      <c r="AI87" s="5" t="str">
        <f t="shared" si="120"/>
        <v>х</v>
      </c>
      <c r="AJ87" s="5" t="str">
        <f t="shared" si="120"/>
        <v>х</v>
      </c>
      <c r="AK87" s="8" t="str">
        <f t="shared" si="120"/>
        <v>х</v>
      </c>
      <c r="AL87" s="5" t="str">
        <f t="shared" si="120"/>
        <v>х</v>
      </c>
      <c r="AM87" s="5" t="str">
        <f t="shared" si="120"/>
        <v>х</v>
      </c>
      <c r="AN87" s="5" t="str">
        <f t="shared" si="120"/>
        <v>х</v>
      </c>
      <c r="AO87" s="5" t="str">
        <f t="shared" si="120"/>
        <v>х</v>
      </c>
      <c r="AP87" s="5" t="str">
        <f t="shared" si="120"/>
        <v>х</v>
      </c>
      <c r="AQ87" s="5" t="str">
        <f t="shared" si="120"/>
        <v>х</v>
      </c>
      <c r="AR87" s="5" t="str">
        <f t="shared" si="120"/>
        <v>х</v>
      </c>
      <c r="AS87" s="5" t="str">
        <f t="shared" si="120"/>
        <v>х</v>
      </c>
      <c r="AT87" s="5" t="str">
        <f t="shared" si="120"/>
        <v>х</v>
      </c>
      <c r="AU87" s="5" t="str">
        <f t="shared" si="120"/>
        <v>х</v>
      </c>
      <c r="AV87" s="5" t="str">
        <f t="shared" si="119"/>
        <v>х</v>
      </c>
      <c r="AW87" s="5" t="str">
        <f t="shared" si="119"/>
        <v>х</v>
      </c>
      <c r="AX87" s="5" t="str">
        <f t="shared" si="119"/>
        <v>х</v>
      </c>
      <c r="AY87" s="5" t="str">
        <f>"х"</f>
        <v>х</v>
      </c>
      <c r="AZ87" s="5" t="str">
        <f t="shared" si="110"/>
        <v>х</v>
      </c>
      <c r="BA87" s="5" t="str">
        <f t="shared" si="110"/>
        <v>х</v>
      </c>
      <c r="BB87" s="5" t="str">
        <f t="shared" si="110"/>
        <v>х</v>
      </c>
      <c r="BC87" s="5" t="str">
        <f>"х"</f>
        <v>х</v>
      </c>
      <c r="BD87" s="5" t="str">
        <f t="shared" si="111"/>
        <v>х</v>
      </c>
      <c r="BE87" s="5" t="str">
        <f t="shared" si="111"/>
        <v>х</v>
      </c>
      <c r="BF87" s="5" t="str">
        <f t="shared" si="111"/>
        <v>х</v>
      </c>
      <c r="BG87" s="5" t="str">
        <f t="shared" ref="BG87:BQ87" si="121">"х"</f>
        <v>х</v>
      </c>
      <c r="BH87" s="5" t="str">
        <f t="shared" si="121"/>
        <v>х</v>
      </c>
      <c r="BI87" s="5" t="str">
        <f t="shared" si="121"/>
        <v>х</v>
      </c>
      <c r="BJ87" s="5" t="str">
        <f t="shared" si="121"/>
        <v>х</v>
      </c>
      <c r="BK87" s="5" t="str">
        <f t="shared" si="121"/>
        <v>х</v>
      </c>
      <c r="BL87" s="5" t="str">
        <f t="shared" si="121"/>
        <v>х</v>
      </c>
      <c r="BM87" s="5" t="str">
        <f t="shared" si="121"/>
        <v>х</v>
      </c>
      <c r="BN87" s="5" t="str">
        <f t="shared" si="121"/>
        <v>х</v>
      </c>
      <c r="BO87" s="5" t="str">
        <f t="shared" si="121"/>
        <v>х</v>
      </c>
      <c r="BP87" s="5" t="str">
        <f t="shared" si="121"/>
        <v>х</v>
      </c>
      <c r="BQ87" s="5" t="str">
        <f t="shared" si="121"/>
        <v>х</v>
      </c>
      <c r="BR87" s="5" t="str">
        <f>"1979"</f>
        <v>1979</v>
      </c>
      <c r="BS87" s="5" t="str">
        <f>"45,00"</f>
        <v>45,00</v>
      </c>
      <c r="BT87" s="5" t="str">
        <f>"2025"</f>
        <v>2025</v>
      </c>
      <c r="BU87" s="5" t="str">
        <f t="shared" si="107"/>
        <v>нет</v>
      </c>
      <c r="BV87" s="5" t="str">
        <f t="shared" si="105"/>
        <v>x</v>
      </c>
      <c r="BW87" s="5" t="str">
        <f t="shared" si="105"/>
        <v>x</v>
      </c>
      <c r="BX87" s="5" t="str">
        <f t="shared" si="105"/>
        <v>x</v>
      </c>
      <c r="BY87" s="5" t="str">
        <f t="shared" si="101"/>
        <v>нет</v>
      </c>
      <c r="BZ87" s="5" t="str">
        <f>"1979"</f>
        <v>1979</v>
      </c>
      <c r="CA87" s="5" t="str">
        <f>"x"</f>
        <v>x</v>
      </c>
      <c r="CB87" s="5" t="str">
        <f>"2025"</f>
        <v>2025</v>
      </c>
      <c r="CC87" s="5" t="str">
        <f>"1979"</f>
        <v>1979</v>
      </c>
      <c r="CD87" s="5" t="str">
        <f>"25,00"</f>
        <v>25,00</v>
      </c>
      <c r="CE87" s="5" t="str">
        <f>"2021"</f>
        <v>2021</v>
      </c>
      <c r="CF87" s="5" t="str">
        <f>"1979"</f>
        <v>1979</v>
      </c>
      <c r="CG87" s="5" t="str">
        <f>"50,00"</f>
        <v>50,00</v>
      </c>
      <c r="CH87" s="5" t="str">
        <f>"2022"</f>
        <v>2022</v>
      </c>
      <c r="CI87" s="5" t="str">
        <f>"72,00"</f>
        <v>72,00</v>
      </c>
      <c r="CJ87" s="5" t="str">
        <f>"2020"</f>
        <v>2020</v>
      </c>
    </row>
    <row r="88" spans="1:88" ht="11.25" customHeight="1">
      <c r="A88" s="3" t="str">
        <f>"1.75"</f>
        <v>1.75</v>
      </c>
      <c r="B88" s="4" t="str">
        <f>"г. Грязовец, ул. Горького, д.59"</f>
        <v>г. Грязовец, ул. Горького, д.59</v>
      </c>
      <c r="C88" s="7" t="str">
        <f>"1917"</f>
        <v>1917</v>
      </c>
      <c r="D88" s="5" t="str">
        <f>"1990"</f>
        <v>1990</v>
      </c>
      <c r="E88" s="5" t="str">
        <f>"10,00"</f>
        <v>10,00</v>
      </c>
      <c r="F88" s="5" t="str">
        <f>"2030"</f>
        <v>2030</v>
      </c>
      <c r="G88" s="5" t="str">
        <f>"да"</f>
        <v>да</v>
      </c>
      <c r="H88" s="5" t="str">
        <f>""</f>
        <v/>
      </c>
      <c r="I88" s="5" t="str">
        <f>"10,00"</f>
        <v>10,00</v>
      </c>
      <c r="J88" s="5" t="str">
        <f>"2030"</f>
        <v>2030</v>
      </c>
      <c r="K88" s="5" t="str">
        <f>"да"</f>
        <v>да</v>
      </c>
      <c r="L88" s="5" t="str">
        <f>""</f>
        <v/>
      </c>
      <c r="M88" s="5" t="str">
        <f>"10,00"</f>
        <v>10,00</v>
      </c>
      <c r="N88" s="5" t="str">
        <f>"2030"</f>
        <v>2030</v>
      </c>
      <c r="O88" s="8" t="str">
        <f>""</f>
        <v/>
      </c>
      <c r="P88" s="5" t="str">
        <f>""</f>
        <v/>
      </c>
      <c r="Q88" s="5" t="str">
        <f>""</f>
        <v/>
      </c>
      <c r="R88" s="5" t="str">
        <f>"нет"</f>
        <v>нет</v>
      </c>
      <c r="S88" s="5" t="str">
        <f>""</f>
        <v/>
      </c>
      <c r="T88" s="5" t="str">
        <f>""</f>
        <v/>
      </c>
      <c r="U88" s="5" t="str">
        <f>""</f>
        <v/>
      </c>
      <c r="V88" s="5" t="str">
        <f>"нет"</f>
        <v>нет</v>
      </c>
      <c r="W88" s="5" t="str">
        <f>""</f>
        <v/>
      </c>
      <c r="X88" s="5" t="str">
        <f>""</f>
        <v/>
      </c>
      <c r="Y88" s="9" t="str">
        <f>""</f>
        <v/>
      </c>
      <c r="Z88" s="5" t="str">
        <f>"1990"</f>
        <v>1990</v>
      </c>
      <c r="AA88" s="5" t="str">
        <f>"7,00"</f>
        <v>7,00</v>
      </c>
      <c r="AB88" s="5" t="str">
        <f>"2033"</f>
        <v>2033</v>
      </c>
      <c r="AC88" s="5" t="str">
        <f>"нет"</f>
        <v>нет</v>
      </c>
      <c r="AD88" s="5" t="str">
        <f>""</f>
        <v/>
      </c>
      <c r="AE88" s="5" t="str">
        <f>""</f>
        <v/>
      </c>
      <c r="AF88" s="5" t="str">
        <f>""</f>
        <v/>
      </c>
      <c r="AG88" s="5" t="str">
        <f>"нет"</f>
        <v>нет</v>
      </c>
      <c r="AH88" s="5" t="str">
        <f>""</f>
        <v/>
      </c>
      <c r="AI88" s="5" t="str">
        <f>""</f>
        <v/>
      </c>
      <c r="AJ88" s="5" t="str">
        <f>""</f>
        <v/>
      </c>
      <c r="AK88" s="8" t="str">
        <f>"1990"</f>
        <v>1990</v>
      </c>
      <c r="AL88" s="5" t="str">
        <f>"20,00"</f>
        <v>20,00</v>
      </c>
      <c r="AM88" s="5" t="str">
        <f>"2022"</f>
        <v>2022</v>
      </c>
      <c r="AN88" s="5" t="str">
        <f>"нет"</f>
        <v>нет</v>
      </c>
      <c r="AO88" s="5" t="str">
        <f>""</f>
        <v/>
      </c>
      <c r="AP88" s="5" t="str">
        <f>""</f>
        <v/>
      </c>
      <c r="AQ88" s="5" t="str">
        <f>""</f>
        <v/>
      </c>
      <c r="AR88" s="5" t="str">
        <f>"нет"</f>
        <v>нет</v>
      </c>
      <c r="AS88" s="5" t="str">
        <f>""</f>
        <v/>
      </c>
      <c r="AT88" s="5" t="str">
        <f>""</f>
        <v/>
      </c>
      <c r="AU88" s="5" t="str">
        <f>""</f>
        <v/>
      </c>
      <c r="AV88" s="5" t="str">
        <f t="shared" si="119"/>
        <v>х</v>
      </c>
      <c r="AW88" s="5" t="str">
        <f t="shared" si="119"/>
        <v>х</v>
      </c>
      <c r="AX88" s="5" t="str">
        <f t="shared" si="119"/>
        <v>х</v>
      </c>
      <c r="AY88" s="5" t="str">
        <f>"х"</f>
        <v>х</v>
      </c>
      <c r="AZ88" s="5" t="str">
        <f t="shared" si="110"/>
        <v>х</v>
      </c>
      <c r="BA88" s="5" t="str">
        <f t="shared" si="110"/>
        <v>х</v>
      </c>
      <c r="BB88" s="5" t="str">
        <f t="shared" si="110"/>
        <v>х</v>
      </c>
      <c r="BC88" s="5" t="str">
        <f>"х"</f>
        <v>х</v>
      </c>
      <c r="BD88" s="5" t="str">
        <f t="shared" si="111"/>
        <v>х</v>
      </c>
      <c r="BE88" s="5" t="str">
        <f t="shared" si="111"/>
        <v>х</v>
      </c>
      <c r="BF88" s="5" t="str">
        <f t="shared" si="111"/>
        <v>х</v>
      </c>
      <c r="BG88" s="5" t="str">
        <f>"1990"</f>
        <v>1990</v>
      </c>
      <c r="BH88" s="5" t="str">
        <f>"10,00"</f>
        <v>10,00</v>
      </c>
      <c r="BI88" s="5" t="str">
        <f>"2030"</f>
        <v>2030</v>
      </c>
      <c r="BJ88" s="5" t="str">
        <f>"нет"</f>
        <v>нет</v>
      </c>
      <c r="BK88" s="5" t="str">
        <f>""</f>
        <v/>
      </c>
      <c r="BL88" s="5" t="str">
        <f>""</f>
        <v/>
      </c>
      <c r="BM88" s="5" t="str">
        <f>""</f>
        <v/>
      </c>
      <c r="BN88" s="5" t="str">
        <f>"нет"</f>
        <v>нет</v>
      </c>
      <c r="BO88" s="5" t="str">
        <f>""</f>
        <v/>
      </c>
      <c r="BP88" s="5" t="str">
        <f>""</f>
        <v/>
      </c>
      <c r="BQ88" s="5" t="str">
        <f>""</f>
        <v/>
      </c>
      <c r="BR88" s="5" t="str">
        <f>"1990"</f>
        <v>1990</v>
      </c>
      <c r="BS88" s="5" t="str">
        <f>"15,00"</f>
        <v>15,00</v>
      </c>
      <c r="BT88" s="5" t="str">
        <f>"2023"</f>
        <v>2023</v>
      </c>
      <c r="BU88" s="5" t="str">
        <f t="shared" si="107"/>
        <v>нет</v>
      </c>
      <c r="BV88" s="5" t="str">
        <f t="shared" si="105"/>
        <v>x</v>
      </c>
      <c r="BW88" s="5" t="str">
        <f t="shared" si="105"/>
        <v>x</v>
      </c>
      <c r="BX88" s="5" t="str">
        <f t="shared" si="105"/>
        <v>x</v>
      </c>
      <c r="BY88" s="5" t="str">
        <f t="shared" si="101"/>
        <v>нет</v>
      </c>
      <c r="BZ88" s="5" t="str">
        <f>"x"</f>
        <v>x</v>
      </c>
      <c r="CA88" s="5" t="str">
        <f>"x"</f>
        <v>x</v>
      </c>
      <c r="CB88" s="5" t="str">
        <f>"x"</f>
        <v>x</v>
      </c>
      <c r="CC88" s="5" t="str">
        <f>"1990"</f>
        <v>1990</v>
      </c>
      <c r="CD88" s="5" t="str">
        <f>"20,00"</f>
        <v>20,00</v>
      </c>
      <c r="CE88" s="5" t="str">
        <f>"2026"</f>
        <v>2026</v>
      </c>
      <c r="CF88" s="5" t="str">
        <f>"1917"</f>
        <v>1917</v>
      </c>
      <c r="CG88" s="5" t="str">
        <f>"20,00"</f>
        <v>20,00</v>
      </c>
      <c r="CH88" s="5" t="str">
        <f>"2027"</f>
        <v>2027</v>
      </c>
      <c r="CI88" s="5" t="str">
        <f>"18,00"</f>
        <v>18,00</v>
      </c>
      <c r="CJ88" s="5" t="str">
        <f>"2041"</f>
        <v>2041</v>
      </c>
    </row>
    <row r="89" spans="1:88" ht="11.25" customHeight="1">
      <c r="A89" s="3" t="str">
        <f>"1.76"</f>
        <v>1.76</v>
      </c>
      <c r="B89" s="4" t="str">
        <f>"г. Грязовец, ул. Горького, д.67"</f>
        <v>г. Грязовец, ул. Горького, д.67</v>
      </c>
      <c r="C89" s="7" t="str">
        <f>"1969"</f>
        <v>1969</v>
      </c>
      <c r="D89" s="5" t="str">
        <f>"1969"</f>
        <v>1969</v>
      </c>
      <c r="E89" s="5" t="str">
        <f>"75,00"</f>
        <v>75,00</v>
      </c>
      <c r="F89" s="5" t="str">
        <f>"2019"</f>
        <v>2019</v>
      </c>
      <c r="G89" s="5" t="str">
        <f>"нет"</f>
        <v>нет</v>
      </c>
      <c r="H89" s="5" t="str">
        <f>""</f>
        <v/>
      </c>
      <c r="I89" s="5" t="str">
        <f>""</f>
        <v/>
      </c>
      <c r="J89" s="5" t="str">
        <f>""</f>
        <v/>
      </c>
      <c r="K89" s="5" t="str">
        <f>"нет"</f>
        <v>нет</v>
      </c>
      <c r="L89" s="5" t="str">
        <f>""</f>
        <v/>
      </c>
      <c r="M89" s="5" t="str">
        <f>""</f>
        <v/>
      </c>
      <c r="N89" s="5" t="str">
        <f>""</f>
        <v/>
      </c>
      <c r="O89" s="8" t="str">
        <f t="shared" ref="O89:X91" si="122">"х"</f>
        <v>х</v>
      </c>
      <c r="P89" s="5" t="str">
        <f t="shared" si="122"/>
        <v>х</v>
      </c>
      <c r="Q89" s="5" t="str">
        <f t="shared" si="122"/>
        <v>х</v>
      </c>
      <c r="R89" s="5" t="str">
        <f t="shared" si="122"/>
        <v>х</v>
      </c>
      <c r="S89" s="5" t="str">
        <f t="shared" si="122"/>
        <v>х</v>
      </c>
      <c r="T89" s="5" t="str">
        <f t="shared" si="122"/>
        <v>х</v>
      </c>
      <c r="U89" s="5" t="str">
        <f t="shared" si="122"/>
        <v>х</v>
      </c>
      <c r="V89" s="5" t="str">
        <f t="shared" si="122"/>
        <v>х</v>
      </c>
      <c r="W89" s="5" t="str">
        <f t="shared" si="122"/>
        <v>х</v>
      </c>
      <c r="X89" s="5" t="str">
        <f t="shared" si="122"/>
        <v>х</v>
      </c>
      <c r="Y89" s="9" t="str">
        <f t="shared" ref="Y89:AH91" si="123">"х"</f>
        <v>х</v>
      </c>
      <c r="Z89" s="5" t="str">
        <f t="shared" si="123"/>
        <v>х</v>
      </c>
      <c r="AA89" s="5" t="str">
        <f t="shared" si="123"/>
        <v>х</v>
      </c>
      <c r="AB89" s="5" t="str">
        <f t="shared" si="123"/>
        <v>х</v>
      </c>
      <c r="AC89" s="5" t="str">
        <f t="shared" si="123"/>
        <v>х</v>
      </c>
      <c r="AD89" s="5" t="str">
        <f t="shared" si="123"/>
        <v>х</v>
      </c>
      <c r="AE89" s="5" t="str">
        <f t="shared" si="123"/>
        <v>х</v>
      </c>
      <c r="AF89" s="5" t="str">
        <f t="shared" si="123"/>
        <v>х</v>
      </c>
      <c r="AG89" s="5" t="str">
        <f t="shared" si="123"/>
        <v>х</v>
      </c>
      <c r="AH89" s="5" t="str">
        <f t="shared" si="123"/>
        <v>х</v>
      </c>
      <c r="AI89" s="5" t="str">
        <f t="shared" ref="AI89:AU91" si="124">"х"</f>
        <v>х</v>
      </c>
      <c r="AJ89" s="5" t="str">
        <f t="shared" si="124"/>
        <v>х</v>
      </c>
      <c r="AK89" s="8" t="str">
        <f t="shared" si="124"/>
        <v>х</v>
      </c>
      <c r="AL89" s="5" t="str">
        <f t="shared" si="124"/>
        <v>х</v>
      </c>
      <c r="AM89" s="5" t="str">
        <f t="shared" si="124"/>
        <v>х</v>
      </c>
      <c r="AN89" s="5" t="str">
        <f t="shared" si="124"/>
        <v>х</v>
      </c>
      <c r="AO89" s="5" t="str">
        <f t="shared" si="124"/>
        <v>х</v>
      </c>
      <c r="AP89" s="5" t="str">
        <f t="shared" si="124"/>
        <v>х</v>
      </c>
      <c r="AQ89" s="5" t="str">
        <f t="shared" si="124"/>
        <v>х</v>
      </c>
      <c r="AR89" s="5" t="str">
        <f t="shared" si="124"/>
        <v>х</v>
      </c>
      <c r="AS89" s="5" t="str">
        <f t="shared" si="124"/>
        <v>х</v>
      </c>
      <c r="AT89" s="5" t="str">
        <f t="shared" si="124"/>
        <v>х</v>
      </c>
      <c r="AU89" s="5" t="str">
        <f t="shared" si="124"/>
        <v>х</v>
      </c>
      <c r="AV89" s="5" t="str">
        <f t="shared" si="119"/>
        <v>х</v>
      </c>
      <c r="AW89" s="5" t="str">
        <f t="shared" si="119"/>
        <v>х</v>
      </c>
      <c r="AX89" s="5" t="str">
        <f t="shared" si="119"/>
        <v>х</v>
      </c>
      <c r="AY89" s="5" t="str">
        <f>"х"</f>
        <v>х</v>
      </c>
      <c r="AZ89" s="5" t="str">
        <f t="shared" si="110"/>
        <v>х</v>
      </c>
      <c r="BA89" s="5" t="str">
        <f t="shared" si="110"/>
        <v>х</v>
      </c>
      <c r="BB89" s="5" t="str">
        <f t="shared" si="110"/>
        <v>х</v>
      </c>
      <c r="BC89" s="5" t="str">
        <f>"х"</f>
        <v>х</v>
      </c>
      <c r="BD89" s="5" t="str">
        <f t="shared" si="111"/>
        <v>х</v>
      </c>
      <c r="BE89" s="5" t="str">
        <f t="shared" si="111"/>
        <v>х</v>
      </c>
      <c r="BF89" s="5" t="str">
        <f t="shared" si="111"/>
        <v>х</v>
      </c>
      <c r="BG89" s="5" t="str">
        <f t="shared" ref="BG89:BQ91" si="125">"х"</f>
        <v>х</v>
      </c>
      <c r="BH89" s="5" t="str">
        <f t="shared" si="125"/>
        <v>х</v>
      </c>
      <c r="BI89" s="5" t="str">
        <f t="shared" si="125"/>
        <v>х</v>
      </c>
      <c r="BJ89" s="5" t="str">
        <f t="shared" si="125"/>
        <v>х</v>
      </c>
      <c r="BK89" s="5" t="str">
        <f t="shared" si="125"/>
        <v>х</v>
      </c>
      <c r="BL89" s="5" t="str">
        <f t="shared" si="125"/>
        <v>х</v>
      </c>
      <c r="BM89" s="5" t="str">
        <f t="shared" si="125"/>
        <v>х</v>
      </c>
      <c r="BN89" s="5" t="str">
        <f t="shared" si="125"/>
        <v>х</v>
      </c>
      <c r="BO89" s="5" t="str">
        <f t="shared" si="125"/>
        <v>х</v>
      </c>
      <c r="BP89" s="5" t="str">
        <f t="shared" si="125"/>
        <v>х</v>
      </c>
      <c r="BQ89" s="5" t="str">
        <f t="shared" si="125"/>
        <v>х</v>
      </c>
      <c r="BR89" s="5" t="str">
        <f>"1969"</f>
        <v>1969</v>
      </c>
      <c r="BS89" s="5" t="str">
        <f>"69,00"</f>
        <v>69,00</v>
      </c>
      <c r="BT89" s="5" t="str">
        <f>"2019"</f>
        <v>2019</v>
      </c>
      <c r="BU89" s="5" t="str">
        <f t="shared" si="107"/>
        <v>нет</v>
      </c>
      <c r="BV89" s="5" t="str">
        <f t="shared" si="105"/>
        <v>x</v>
      </c>
      <c r="BW89" s="5" t="str">
        <f t="shared" si="105"/>
        <v>x</v>
      </c>
      <c r="BX89" s="5" t="str">
        <f t="shared" si="105"/>
        <v>x</v>
      </c>
      <c r="BY89" s="5" t="str">
        <f t="shared" si="101"/>
        <v>нет</v>
      </c>
      <c r="BZ89" s="5" t="str">
        <f>"x"</f>
        <v>x</v>
      </c>
      <c r="CA89" s="5" t="str">
        <f>"x"</f>
        <v>x</v>
      </c>
      <c r="CB89" s="5" t="str">
        <f>"x"</f>
        <v>x</v>
      </c>
      <c r="CC89" s="5" t="str">
        <f>"1969"</f>
        <v>1969</v>
      </c>
      <c r="CD89" s="5" t="str">
        <f>"69,00"</f>
        <v>69,00</v>
      </c>
      <c r="CE89" s="5" t="str">
        <f>"2021"</f>
        <v>2021</v>
      </c>
      <c r="CF89" s="5" t="str">
        <f>"1969"</f>
        <v>1969</v>
      </c>
      <c r="CG89" s="5" t="str">
        <f>"50,00"</f>
        <v>50,00</v>
      </c>
      <c r="CH89" s="5" t="str">
        <f>"2022"</f>
        <v>2022</v>
      </c>
      <c r="CI89" s="5" t="str">
        <f>"69,00"</f>
        <v>69,00</v>
      </c>
      <c r="CJ89" s="5" t="str">
        <f>"2043"</f>
        <v>2043</v>
      </c>
    </row>
    <row r="90" spans="1:88" ht="11.25" customHeight="1">
      <c r="A90" s="3" t="str">
        <f>"1.77"</f>
        <v>1.77</v>
      </c>
      <c r="B90" s="4" t="str">
        <f>"г. Грязовец, ул. Горького, д.70"</f>
        <v>г. Грязовец, ул. Горького, д.70</v>
      </c>
      <c r="C90" s="7" t="str">
        <f>"1971"</f>
        <v>1971</v>
      </c>
      <c r="D90" s="5" t="str">
        <f>"1971"</f>
        <v>1971</v>
      </c>
      <c r="E90" s="5" t="str">
        <f>"38,00"</f>
        <v>38,00</v>
      </c>
      <c r="F90" s="5" t="str">
        <f>"2023"</f>
        <v>2023</v>
      </c>
      <c r="G90" s="5" t="str">
        <f>"нет"</f>
        <v>нет</v>
      </c>
      <c r="H90" s="5" t="str">
        <f>""</f>
        <v/>
      </c>
      <c r="I90" s="5" t="str">
        <f>""</f>
        <v/>
      </c>
      <c r="J90" s="5" t="str">
        <f>""</f>
        <v/>
      </c>
      <c r="K90" s="5" t="str">
        <f>"нет"</f>
        <v>нет</v>
      </c>
      <c r="L90" s="5" t="str">
        <f>""</f>
        <v/>
      </c>
      <c r="M90" s="5" t="str">
        <f>""</f>
        <v/>
      </c>
      <c r="N90" s="5" t="str">
        <f>""</f>
        <v/>
      </c>
      <c r="O90" s="8" t="str">
        <f t="shared" si="122"/>
        <v>х</v>
      </c>
      <c r="P90" s="5" t="str">
        <f t="shared" si="122"/>
        <v>х</v>
      </c>
      <c r="Q90" s="5" t="str">
        <f t="shared" si="122"/>
        <v>х</v>
      </c>
      <c r="R90" s="5" t="str">
        <f t="shared" si="122"/>
        <v>х</v>
      </c>
      <c r="S90" s="5" t="str">
        <f t="shared" si="122"/>
        <v>х</v>
      </c>
      <c r="T90" s="5" t="str">
        <f t="shared" si="122"/>
        <v>х</v>
      </c>
      <c r="U90" s="5" t="str">
        <f t="shared" si="122"/>
        <v>х</v>
      </c>
      <c r="V90" s="5" t="str">
        <f t="shared" si="122"/>
        <v>х</v>
      </c>
      <c r="W90" s="5" t="str">
        <f t="shared" si="122"/>
        <v>х</v>
      </c>
      <c r="X90" s="5" t="str">
        <f t="shared" si="122"/>
        <v>х</v>
      </c>
      <c r="Y90" s="9" t="str">
        <f t="shared" si="123"/>
        <v>х</v>
      </c>
      <c r="Z90" s="5" t="str">
        <f t="shared" si="123"/>
        <v>х</v>
      </c>
      <c r="AA90" s="5" t="str">
        <f t="shared" si="123"/>
        <v>х</v>
      </c>
      <c r="AB90" s="5" t="str">
        <f t="shared" si="123"/>
        <v>х</v>
      </c>
      <c r="AC90" s="5" t="str">
        <f t="shared" si="123"/>
        <v>х</v>
      </c>
      <c r="AD90" s="5" t="str">
        <f t="shared" si="123"/>
        <v>х</v>
      </c>
      <c r="AE90" s="5" t="str">
        <f t="shared" si="123"/>
        <v>х</v>
      </c>
      <c r="AF90" s="5" t="str">
        <f t="shared" si="123"/>
        <v>х</v>
      </c>
      <c r="AG90" s="5" t="str">
        <f t="shared" si="123"/>
        <v>х</v>
      </c>
      <c r="AH90" s="5" t="str">
        <f t="shared" si="123"/>
        <v>х</v>
      </c>
      <c r="AI90" s="5" t="str">
        <f t="shared" si="124"/>
        <v>х</v>
      </c>
      <c r="AJ90" s="5" t="str">
        <f t="shared" si="124"/>
        <v>х</v>
      </c>
      <c r="AK90" s="8" t="str">
        <f t="shared" si="124"/>
        <v>х</v>
      </c>
      <c r="AL90" s="5" t="str">
        <f t="shared" si="124"/>
        <v>х</v>
      </c>
      <c r="AM90" s="5" t="str">
        <f t="shared" si="124"/>
        <v>х</v>
      </c>
      <c r="AN90" s="5" t="str">
        <f t="shared" si="124"/>
        <v>х</v>
      </c>
      <c r="AO90" s="5" t="str">
        <f t="shared" si="124"/>
        <v>х</v>
      </c>
      <c r="AP90" s="5" t="str">
        <f t="shared" si="124"/>
        <v>х</v>
      </c>
      <c r="AQ90" s="5" t="str">
        <f t="shared" si="124"/>
        <v>х</v>
      </c>
      <c r="AR90" s="5" t="str">
        <f t="shared" si="124"/>
        <v>х</v>
      </c>
      <c r="AS90" s="5" t="str">
        <f t="shared" si="124"/>
        <v>х</v>
      </c>
      <c r="AT90" s="5" t="str">
        <f t="shared" si="124"/>
        <v>х</v>
      </c>
      <c r="AU90" s="5" t="str">
        <f t="shared" si="124"/>
        <v>х</v>
      </c>
      <c r="AV90" s="5" t="str">
        <f t="shared" si="119"/>
        <v>х</v>
      </c>
      <c r="AW90" s="5" t="str">
        <f t="shared" si="119"/>
        <v>х</v>
      </c>
      <c r="AX90" s="5" t="str">
        <f t="shared" si="119"/>
        <v>х</v>
      </c>
      <c r="AY90" s="5" t="str">
        <f>"х"</f>
        <v>х</v>
      </c>
      <c r="AZ90" s="5" t="str">
        <f t="shared" si="110"/>
        <v>х</v>
      </c>
      <c r="BA90" s="5" t="str">
        <f t="shared" si="110"/>
        <v>х</v>
      </c>
      <c r="BB90" s="5" t="str">
        <f t="shared" si="110"/>
        <v>х</v>
      </c>
      <c r="BC90" s="5" t="str">
        <f>"х"</f>
        <v>х</v>
      </c>
      <c r="BD90" s="5" t="str">
        <f t="shared" si="111"/>
        <v>х</v>
      </c>
      <c r="BE90" s="5" t="str">
        <f t="shared" si="111"/>
        <v>х</v>
      </c>
      <c r="BF90" s="5" t="str">
        <f t="shared" si="111"/>
        <v>х</v>
      </c>
      <c r="BG90" s="5" t="str">
        <f t="shared" si="125"/>
        <v>х</v>
      </c>
      <c r="BH90" s="5" t="str">
        <f t="shared" si="125"/>
        <v>х</v>
      </c>
      <c r="BI90" s="5" t="str">
        <f t="shared" si="125"/>
        <v>х</v>
      </c>
      <c r="BJ90" s="5" t="str">
        <f t="shared" si="125"/>
        <v>х</v>
      </c>
      <c r="BK90" s="5" t="str">
        <f t="shared" si="125"/>
        <v>х</v>
      </c>
      <c r="BL90" s="5" t="str">
        <f t="shared" si="125"/>
        <v>х</v>
      </c>
      <c r="BM90" s="5" t="str">
        <f t="shared" si="125"/>
        <v>х</v>
      </c>
      <c r="BN90" s="5" t="str">
        <f t="shared" si="125"/>
        <v>х</v>
      </c>
      <c r="BO90" s="5" t="str">
        <f t="shared" si="125"/>
        <v>х</v>
      </c>
      <c r="BP90" s="5" t="str">
        <f t="shared" si="125"/>
        <v>х</v>
      </c>
      <c r="BQ90" s="5" t="str">
        <f t="shared" si="125"/>
        <v>х</v>
      </c>
      <c r="BR90" s="5" t="str">
        <f>"1971"</f>
        <v>1971</v>
      </c>
      <c r="BS90" s="5" t="str">
        <f>"45,00"</f>
        <v>45,00</v>
      </c>
      <c r="BT90" s="5" t="str">
        <f>"2023"</f>
        <v>2023</v>
      </c>
      <c r="BU90" s="5" t="str">
        <f t="shared" si="107"/>
        <v>нет</v>
      </c>
      <c r="BV90" s="5" t="str">
        <f t="shared" si="105"/>
        <v>x</v>
      </c>
      <c r="BW90" s="5" t="str">
        <f t="shared" si="105"/>
        <v>x</v>
      </c>
      <c r="BX90" s="5" t="str">
        <f t="shared" si="105"/>
        <v>x</v>
      </c>
      <c r="BY90" s="5" t="str">
        <f t="shared" si="101"/>
        <v>нет</v>
      </c>
      <c r="BZ90" s="5" t="str">
        <f>"1971"</f>
        <v>1971</v>
      </c>
      <c r="CA90" s="5" t="str">
        <f>"47,00"</f>
        <v>47,00</v>
      </c>
      <c r="CB90" s="5" t="str">
        <f>"2021"</f>
        <v>2021</v>
      </c>
      <c r="CC90" s="5" t="str">
        <f>"1971"</f>
        <v>1971</v>
      </c>
      <c r="CD90" s="5" t="str">
        <f>"47,00"</f>
        <v>47,00</v>
      </c>
      <c r="CE90" s="5" t="str">
        <f>"2022"</f>
        <v>2022</v>
      </c>
      <c r="CF90" s="5" t="str">
        <f>"1971"</f>
        <v>1971</v>
      </c>
      <c r="CG90" s="5" t="str">
        <f>"48,00"</f>
        <v>48,00</v>
      </c>
      <c r="CH90" s="5" t="str">
        <f>"2021"</f>
        <v>2021</v>
      </c>
      <c r="CI90" s="5" t="str">
        <f>"48,00"</f>
        <v>48,00</v>
      </c>
      <c r="CJ90" s="5" t="str">
        <f>"2040"</f>
        <v>2040</v>
      </c>
    </row>
    <row r="91" spans="1:88" ht="11.25" customHeight="1">
      <c r="A91" s="3" t="str">
        <f>"1.78"</f>
        <v>1.78</v>
      </c>
      <c r="B91" s="4" t="str">
        <f>"г. Грязовец, ул. Горького, д.93"</f>
        <v>г. Грязовец, ул. Горького, д.93</v>
      </c>
      <c r="C91" s="7" t="str">
        <f>"1917"</f>
        <v>1917</v>
      </c>
      <c r="D91" s="5" t="str">
        <f t="shared" ref="D91:N91" si="126">"х"</f>
        <v>х</v>
      </c>
      <c r="E91" s="5" t="str">
        <f t="shared" si="126"/>
        <v>х</v>
      </c>
      <c r="F91" s="5" t="str">
        <f t="shared" si="126"/>
        <v>х</v>
      </c>
      <c r="G91" s="5" t="str">
        <f t="shared" si="126"/>
        <v>х</v>
      </c>
      <c r="H91" s="5" t="str">
        <f t="shared" si="126"/>
        <v>х</v>
      </c>
      <c r="I91" s="5" t="str">
        <f t="shared" si="126"/>
        <v>х</v>
      </c>
      <c r="J91" s="5" t="str">
        <f t="shared" si="126"/>
        <v>х</v>
      </c>
      <c r="K91" s="5" t="str">
        <f t="shared" si="126"/>
        <v>х</v>
      </c>
      <c r="L91" s="5" t="str">
        <f t="shared" si="126"/>
        <v>х</v>
      </c>
      <c r="M91" s="5" t="str">
        <f t="shared" si="126"/>
        <v>х</v>
      </c>
      <c r="N91" s="5" t="str">
        <f t="shared" si="126"/>
        <v>х</v>
      </c>
      <c r="O91" s="8" t="str">
        <f t="shared" si="122"/>
        <v>х</v>
      </c>
      <c r="P91" s="5" t="str">
        <f t="shared" si="122"/>
        <v>х</v>
      </c>
      <c r="Q91" s="5" t="str">
        <f t="shared" si="122"/>
        <v>х</v>
      </c>
      <c r="R91" s="5" t="str">
        <f t="shared" si="122"/>
        <v>х</v>
      </c>
      <c r="S91" s="5" t="str">
        <f t="shared" si="122"/>
        <v>х</v>
      </c>
      <c r="T91" s="5" t="str">
        <f t="shared" si="122"/>
        <v>х</v>
      </c>
      <c r="U91" s="5" t="str">
        <f t="shared" si="122"/>
        <v>х</v>
      </c>
      <c r="V91" s="5" t="str">
        <f t="shared" si="122"/>
        <v>х</v>
      </c>
      <c r="W91" s="5" t="str">
        <f t="shared" si="122"/>
        <v>х</v>
      </c>
      <c r="X91" s="5" t="str">
        <f t="shared" si="122"/>
        <v>х</v>
      </c>
      <c r="Y91" s="9" t="str">
        <f t="shared" si="123"/>
        <v>х</v>
      </c>
      <c r="Z91" s="5" t="str">
        <f t="shared" si="123"/>
        <v>х</v>
      </c>
      <c r="AA91" s="5" t="str">
        <f t="shared" si="123"/>
        <v>х</v>
      </c>
      <c r="AB91" s="5" t="str">
        <f t="shared" si="123"/>
        <v>х</v>
      </c>
      <c r="AC91" s="5" t="str">
        <f t="shared" si="123"/>
        <v>х</v>
      </c>
      <c r="AD91" s="5" t="str">
        <f t="shared" si="123"/>
        <v>х</v>
      </c>
      <c r="AE91" s="5" t="str">
        <f t="shared" si="123"/>
        <v>х</v>
      </c>
      <c r="AF91" s="5" t="str">
        <f t="shared" si="123"/>
        <v>х</v>
      </c>
      <c r="AG91" s="5" t="str">
        <f t="shared" si="123"/>
        <v>х</v>
      </c>
      <c r="AH91" s="5" t="str">
        <f t="shared" si="123"/>
        <v>х</v>
      </c>
      <c r="AI91" s="5" t="str">
        <f t="shared" si="124"/>
        <v>х</v>
      </c>
      <c r="AJ91" s="5" t="str">
        <f t="shared" si="124"/>
        <v>х</v>
      </c>
      <c r="AK91" s="8" t="str">
        <f t="shared" si="124"/>
        <v>х</v>
      </c>
      <c r="AL91" s="5" t="str">
        <f t="shared" si="124"/>
        <v>х</v>
      </c>
      <c r="AM91" s="5" t="str">
        <f t="shared" si="124"/>
        <v>х</v>
      </c>
      <c r="AN91" s="5" t="str">
        <f t="shared" si="124"/>
        <v>х</v>
      </c>
      <c r="AO91" s="5" t="str">
        <f t="shared" si="124"/>
        <v>х</v>
      </c>
      <c r="AP91" s="5" t="str">
        <f t="shared" si="124"/>
        <v>х</v>
      </c>
      <c r="AQ91" s="5" t="str">
        <f t="shared" si="124"/>
        <v>х</v>
      </c>
      <c r="AR91" s="5" t="str">
        <f t="shared" si="124"/>
        <v>х</v>
      </c>
      <c r="AS91" s="5" t="str">
        <f t="shared" si="124"/>
        <v>х</v>
      </c>
      <c r="AT91" s="5" t="str">
        <f t="shared" si="124"/>
        <v>х</v>
      </c>
      <c r="AU91" s="5" t="str">
        <f t="shared" si="124"/>
        <v>х</v>
      </c>
      <c r="AV91" s="5" t="str">
        <f t="shared" si="119"/>
        <v>х</v>
      </c>
      <c r="AW91" s="5" t="str">
        <f t="shared" si="119"/>
        <v>х</v>
      </c>
      <c r="AX91" s="5" t="str">
        <f t="shared" si="119"/>
        <v>х</v>
      </c>
      <c r="AY91" s="5" t="str">
        <f>"х"</f>
        <v>х</v>
      </c>
      <c r="AZ91" s="5" t="str">
        <f t="shared" si="110"/>
        <v>х</v>
      </c>
      <c r="BA91" s="5" t="str">
        <f t="shared" si="110"/>
        <v>х</v>
      </c>
      <c r="BB91" s="5" t="str">
        <f t="shared" si="110"/>
        <v>х</v>
      </c>
      <c r="BC91" s="5" t="str">
        <f>"х"</f>
        <v>х</v>
      </c>
      <c r="BD91" s="5" t="str">
        <f t="shared" si="111"/>
        <v>х</v>
      </c>
      <c r="BE91" s="5" t="str">
        <f t="shared" si="111"/>
        <v>х</v>
      </c>
      <c r="BF91" s="5" t="str">
        <f t="shared" si="111"/>
        <v>х</v>
      </c>
      <c r="BG91" s="5" t="str">
        <f t="shared" si="125"/>
        <v>х</v>
      </c>
      <c r="BH91" s="5" t="str">
        <f t="shared" si="125"/>
        <v>х</v>
      </c>
      <c r="BI91" s="5" t="str">
        <f t="shared" si="125"/>
        <v>х</v>
      </c>
      <c r="BJ91" s="5" t="str">
        <f t="shared" si="125"/>
        <v>х</v>
      </c>
      <c r="BK91" s="5" t="str">
        <f t="shared" si="125"/>
        <v>х</v>
      </c>
      <c r="BL91" s="5" t="str">
        <f t="shared" si="125"/>
        <v>х</v>
      </c>
      <c r="BM91" s="5" t="str">
        <f t="shared" si="125"/>
        <v>х</v>
      </c>
      <c r="BN91" s="5" t="str">
        <f t="shared" si="125"/>
        <v>х</v>
      </c>
      <c r="BO91" s="5" t="str">
        <f t="shared" si="125"/>
        <v>х</v>
      </c>
      <c r="BP91" s="5" t="str">
        <f t="shared" si="125"/>
        <v>х</v>
      </c>
      <c r="BQ91" s="5" t="str">
        <f t="shared" si="125"/>
        <v>х</v>
      </c>
      <c r="BR91" s="5" t="str">
        <f>""</f>
        <v/>
      </c>
      <c r="BS91" s="5" t="str">
        <f>"50,00"</f>
        <v>50,00</v>
      </c>
      <c r="BT91" s="5" t="str">
        <f>"2019"</f>
        <v>2019</v>
      </c>
      <c r="BU91" s="5" t="str">
        <f t="shared" si="107"/>
        <v>нет</v>
      </c>
      <c r="BV91" s="5" t="str">
        <f t="shared" si="105"/>
        <v>x</v>
      </c>
      <c r="BW91" s="5" t="str">
        <f t="shared" si="105"/>
        <v>x</v>
      </c>
      <c r="BX91" s="5" t="str">
        <f t="shared" si="105"/>
        <v>x</v>
      </c>
      <c r="BY91" s="5" t="str">
        <f t="shared" si="101"/>
        <v>нет</v>
      </c>
      <c r="BZ91" s="5" t="str">
        <f>"x"</f>
        <v>x</v>
      </c>
      <c r="CA91" s="5" t="str">
        <f>"x"</f>
        <v>x</v>
      </c>
      <c r="CB91" s="5" t="str">
        <f>"x"</f>
        <v>x</v>
      </c>
      <c r="CC91" s="5" t="str">
        <f>""</f>
        <v/>
      </c>
      <c r="CD91" s="5" t="str">
        <f>"40,00"</f>
        <v>40,00</v>
      </c>
      <c r="CE91" s="5" t="str">
        <f>"2022"</f>
        <v>2022</v>
      </c>
      <c r="CF91" s="5" t="str">
        <f>""</f>
        <v/>
      </c>
      <c r="CG91" s="5" t="str">
        <f>"30,00"</f>
        <v>30,00</v>
      </c>
      <c r="CH91" s="5" t="str">
        <f>"2023"</f>
        <v>2023</v>
      </c>
      <c r="CI91" s="5" t="str">
        <f>"44,00"</f>
        <v>44,00</v>
      </c>
      <c r="CJ91" s="5" t="str">
        <f>"2041"</f>
        <v>2041</v>
      </c>
    </row>
    <row r="92" spans="1:88" ht="11.25" customHeight="1">
      <c r="A92" s="3" t="str">
        <f>"1.79"</f>
        <v>1.79</v>
      </c>
      <c r="B92" s="4" t="str">
        <f>"г. Грязовец, ул. Гражданская, д.23"</f>
        <v>г. Грязовец, ул. Гражданская, д.23</v>
      </c>
      <c r="C92" s="7" t="str">
        <f>"1973"</f>
        <v>1973</v>
      </c>
      <c r="D92" s="5" t="str">
        <f>"1973"</f>
        <v>1973</v>
      </c>
      <c r="E92" s="5" t="str">
        <f>"32,00"</f>
        <v>32,00</v>
      </c>
      <c r="F92" s="5" t="str">
        <f>"2033"</f>
        <v>2033</v>
      </c>
      <c r="G92" s="5" t="str">
        <f>"нет"</f>
        <v>нет</v>
      </c>
      <c r="H92" s="5" t="str">
        <f>""</f>
        <v/>
      </c>
      <c r="I92" s="5" t="str">
        <f>""</f>
        <v/>
      </c>
      <c r="J92" s="5" t="str">
        <f>""</f>
        <v/>
      </c>
      <c r="K92" s="5" t="str">
        <f>"нет"</f>
        <v>нет</v>
      </c>
      <c r="L92" s="5" t="str">
        <f>""</f>
        <v/>
      </c>
      <c r="M92" s="5" t="str">
        <f>""</f>
        <v/>
      </c>
      <c r="N92" s="5" t="str">
        <f>""</f>
        <v/>
      </c>
      <c r="O92" s="8" t="str">
        <f>"1973"</f>
        <v>1973</v>
      </c>
      <c r="P92" s="5" t="str">
        <f>"32,00"</f>
        <v>32,00</v>
      </c>
      <c r="Q92" s="5" t="str">
        <f>"2020"</f>
        <v>2020</v>
      </c>
      <c r="R92" s="5" t="str">
        <f t="shared" ref="R92:R108" si="127">"нет"</f>
        <v>нет</v>
      </c>
      <c r="S92" s="5" t="str">
        <f>""</f>
        <v/>
      </c>
      <c r="T92" s="5" t="str">
        <f>""</f>
        <v/>
      </c>
      <c r="U92" s="5" t="str">
        <f>""</f>
        <v/>
      </c>
      <c r="V92" s="5" t="str">
        <f t="shared" ref="V92:V108" si="128">"нет"</f>
        <v>нет</v>
      </c>
      <c r="W92" s="5" t="str">
        <f>""</f>
        <v/>
      </c>
      <c r="X92" s="5" t="str">
        <f>""</f>
        <v/>
      </c>
      <c r="Y92" s="9" t="str">
        <f>""</f>
        <v/>
      </c>
      <c r="Z92" s="5" t="str">
        <f>"1973"</f>
        <v>1973</v>
      </c>
      <c r="AA92" s="5" t="str">
        <f>"32,00"</f>
        <v>32,00</v>
      </c>
      <c r="AB92" s="5" t="str">
        <f>"2020"</f>
        <v>2020</v>
      </c>
      <c r="AC92" s="5" t="str">
        <f t="shared" ref="AC92:AC108" si="129">"нет"</f>
        <v>нет</v>
      </c>
      <c r="AD92" s="5" t="str">
        <f>""</f>
        <v/>
      </c>
      <c r="AE92" s="5" t="str">
        <f>""</f>
        <v/>
      </c>
      <c r="AF92" s="5" t="str">
        <f>""</f>
        <v/>
      </c>
      <c r="AG92" s="5" t="str">
        <f t="shared" ref="AG92:AG114" si="130">"нет"</f>
        <v>нет</v>
      </c>
      <c r="AH92" s="5" t="str">
        <f>""</f>
        <v/>
      </c>
      <c r="AI92" s="5" t="str">
        <f>""</f>
        <v/>
      </c>
      <c r="AJ92" s="5" t="str">
        <f>""</f>
        <v/>
      </c>
      <c r="AK92" s="8" t="str">
        <f>"1973"</f>
        <v>1973</v>
      </c>
      <c r="AL92" s="5" t="str">
        <f>"32,00"</f>
        <v>32,00</v>
      </c>
      <c r="AM92" s="5" t="str">
        <f>"2020"</f>
        <v>2020</v>
      </c>
      <c r="AN92" s="5" t="str">
        <f t="shared" ref="AN92:AN100" si="131">"нет"</f>
        <v>нет</v>
      </c>
      <c r="AO92" s="5" t="str">
        <f>""</f>
        <v/>
      </c>
      <c r="AP92" s="5" t="str">
        <f>""</f>
        <v/>
      </c>
      <c r="AQ92" s="5" t="str">
        <f>""</f>
        <v/>
      </c>
      <c r="AR92" s="5" t="str">
        <f t="shared" ref="AR92:AR100" si="132">"нет"</f>
        <v>нет</v>
      </c>
      <c r="AS92" s="5" t="str">
        <f>""</f>
        <v/>
      </c>
      <c r="AT92" s="5" t="str">
        <f>""</f>
        <v/>
      </c>
      <c r="AU92" s="5" t="str">
        <f>""</f>
        <v/>
      </c>
      <c r="AV92" s="5" t="str">
        <f>"1973"</f>
        <v>1973</v>
      </c>
      <c r="AW92" s="5" t="str">
        <f>"35,00"</f>
        <v>35,00</v>
      </c>
      <c r="AX92" s="5" t="str">
        <f>"2020"</f>
        <v>2020</v>
      </c>
      <c r="AY92" s="5" t="str">
        <f t="shared" ref="AY92:AY100" si="133">"нет"</f>
        <v>нет</v>
      </c>
      <c r="AZ92" s="5" t="str">
        <f>""</f>
        <v/>
      </c>
      <c r="BA92" s="5" t="str">
        <f>""</f>
        <v/>
      </c>
      <c r="BB92" s="5" t="str">
        <f>""</f>
        <v/>
      </c>
      <c r="BC92" s="5" t="str">
        <f t="shared" ref="BC92:BC100" si="134">"нет"</f>
        <v>нет</v>
      </c>
      <c r="BD92" s="5" t="str">
        <f>""</f>
        <v/>
      </c>
      <c r="BE92" s="5" t="str">
        <f>""</f>
        <v/>
      </c>
      <c r="BF92" s="5" t="str">
        <f>""</f>
        <v/>
      </c>
      <c r="BG92" s="5" t="str">
        <f>"1973"</f>
        <v>1973</v>
      </c>
      <c r="BH92" s="5" t="str">
        <f>"32,00"</f>
        <v>32,00</v>
      </c>
      <c r="BI92" s="5" t="str">
        <f>"2032"</f>
        <v>2032</v>
      </c>
      <c r="BJ92" s="5" t="str">
        <f t="shared" ref="BJ92:BJ100" si="135">"нет"</f>
        <v>нет</v>
      </c>
      <c r="BK92" s="5" t="str">
        <f>""</f>
        <v/>
      </c>
      <c r="BL92" s="5" t="str">
        <f>""</f>
        <v/>
      </c>
      <c r="BM92" s="5" t="str">
        <f>""</f>
        <v/>
      </c>
      <c r="BN92" s="5" t="str">
        <f t="shared" ref="BN92:BN100" si="136">"нет"</f>
        <v>нет</v>
      </c>
      <c r="BO92" s="5" t="str">
        <f>""</f>
        <v/>
      </c>
      <c r="BP92" s="5" t="str">
        <f>""</f>
        <v/>
      </c>
      <c r="BQ92" s="5" t="str">
        <f>""</f>
        <v/>
      </c>
      <c r="BR92" s="5" t="str">
        <f>"1973"</f>
        <v>1973</v>
      </c>
      <c r="BS92" s="5" t="str">
        <f>"32,00"</f>
        <v>32,00</v>
      </c>
      <c r="BT92" s="5" t="str">
        <f>"2020"</f>
        <v>2020</v>
      </c>
      <c r="BU92" s="5" t="str">
        <f t="shared" si="107"/>
        <v>нет</v>
      </c>
      <c r="BV92" s="5" t="str">
        <f t="shared" si="105"/>
        <v>x</v>
      </c>
      <c r="BW92" s="5" t="str">
        <f t="shared" si="105"/>
        <v>x</v>
      </c>
      <c r="BX92" s="5" t="str">
        <f t="shared" si="105"/>
        <v>x</v>
      </c>
      <c r="BY92" s="5" t="str">
        <f t="shared" si="101"/>
        <v>нет</v>
      </c>
      <c r="BZ92" s="5" t="str">
        <f>"1973"</f>
        <v>1973</v>
      </c>
      <c r="CA92" s="5" t="str">
        <f>"32,00"</f>
        <v>32,00</v>
      </c>
      <c r="CB92" s="5" t="str">
        <f>"2021"</f>
        <v>2021</v>
      </c>
      <c r="CC92" s="5" t="str">
        <f>"1973"</f>
        <v>1973</v>
      </c>
      <c r="CD92" s="5" t="str">
        <f>"32,00"</f>
        <v>32,00</v>
      </c>
      <c r="CE92" s="5" t="str">
        <f>"2020"</f>
        <v>2020</v>
      </c>
      <c r="CF92" s="5" t="str">
        <f>"1973"</f>
        <v>1973</v>
      </c>
      <c r="CG92" s="5" t="str">
        <f>"32,00"</f>
        <v>32,00</v>
      </c>
      <c r="CH92" s="5" t="str">
        <f>"2020"</f>
        <v>2020</v>
      </c>
      <c r="CI92" s="5" t="str">
        <f>"35,00"</f>
        <v>35,00</v>
      </c>
      <c r="CJ92" s="5" t="str">
        <f>"2044"</f>
        <v>2044</v>
      </c>
    </row>
    <row r="93" spans="1:88" ht="11.25" customHeight="1">
      <c r="A93" s="3" t="str">
        <f>"1.80"</f>
        <v>1.80</v>
      </c>
      <c r="B93" s="4" t="str">
        <f>"г. Грязовец, ул. Гражданская, д.26"</f>
        <v>г. Грязовец, ул. Гражданская, д.26</v>
      </c>
      <c r="C93" s="7" t="str">
        <f>"1984"</f>
        <v>1984</v>
      </c>
      <c r="D93" s="5" t="str">
        <f>"1984"</f>
        <v>1984</v>
      </c>
      <c r="E93" s="5" t="str">
        <f>"45,00"</f>
        <v>45,00</v>
      </c>
      <c r="F93" s="5" t="str">
        <f>"2016"</f>
        <v>2016</v>
      </c>
      <c r="G93" s="5" t="str">
        <f>"нет"</f>
        <v>нет</v>
      </c>
      <c r="H93" s="5" t="str">
        <f>""</f>
        <v/>
      </c>
      <c r="I93" s="5" t="str">
        <f>""</f>
        <v/>
      </c>
      <c r="J93" s="5" t="str">
        <f>""</f>
        <v/>
      </c>
      <c r="K93" s="5" t="str">
        <f>"нет"</f>
        <v>нет</v>
      </c>
      <c r="L93" s="5" t="str">
        <f>""</f>
        <v/>
      </c>
      <c r="M93" s="5" t="str">
        <f>""</f>
        <v/>
      </c>
      <c r="N93" s="5" t="str">
        <f>""</f>
        <v/>
      </c>
      <c r="O93" s="8" t="str">
        <f>"1984"</f>
        <v>1984</v>
      </c>
      <c r="P93" s="5" t="str">
        <f>"43,00"</f>
        <v>43,00</v>
      </c>
      <c r="Q93" s="5" t="str">
        <f>"2016"</f>
        <v>2016</v>
      </c>
      <c r="R93" s="5" t="str">
        <f t="shared" si="127"/>
        <v>нет</v>
      </c>
      <c r="S93" s="5" t="str">
        <f>""</f>
        <v/>
      </c>
      <c r="T93" s="5" t="str">
        <f>""</f>
        <v/>
      </c>
      <c r="U93" s="5" t="str">
        <f>""</f>
        <v/>
      </c>
      <c r="V93" s="5" t="str">
        <f t="shared" si="128"/>
        <v>нет</v>
      </c>
      <c r="W93" s="5" t="str">
        <f>""</f>
        <v/>
      </c>
      <c r="X93" s="5" t="str">
        <f>""</f>
        <v/>
      </c>
      <c r="Y93" s="9" t="str">
        <f>""</f>
        <v/>
      </c>
      <c r="Z93" s="5" t="str">
        <f>"1984"</f>
        <v>1984</v>
      </c>
      <c r="AA93" s="5" t="str">
        <f>"22,00"</f>
        <v>22,00</v>
      </c>
      <c r="AB93" s="5" t="str">
        <f>"2020"</f>
        <v>2020</v>
      </c>
      <c r="AC93" s="5" t="str">
        <f t="shared" si="129"/>
        <v>нет</v>
      </c>
      <c r="AD93" s="5" t="str">
        <f>""</f>
        <v/>
      </c>
      <c r="AE93" s="5" t="str">
        <f>""</f>
        <v/>
      </c>
      <c r="AF93" s="5" t="str">
        <f>""</f>
        <v/>
      </c>
      <c r="AG93" s="5" t="str">
        <f t="shared" si="130"/>
        <v>нет</v>
      </c>
      <c r="AH93" s="5" t="str">
        <f>""</f>
        <v/>
      </c>
      <c r="AI93" s="5" t="str">
        <f>""</f>
        <v/>
      </c>
      <c r="AJ93" s="5" t="str">
        <f>""</f>
        <v/>
      </c>
      <c r="AK93" s="8" t="str">
        <f>"1984"</f>
        <v>1984</v>
      </c>
      <c r="AL93" s="5" t="str">
        <f>"47,00"</f>
        <v>47,00</v>
      </c>
      <c r="AM93" s="5" t="str">
        <f>"2016"</f>
        <v>2016</v>
      </c>
      <c r="AN93" s="5" t="str">
        <f t="shared" si="131"/>
        <v>нет</v>
      </c>
      <c r="AO93" s="5" t="str">
        <f>""</f>
        <v/>
      </c>
      <c r="AP93" s="5" t="str">
        <f>""</f>
        <v/>
      </c>
      <c r="AQ93" s="5" t="str">
        <f>""</f>
        <v/>
      </c>
      <c r="AR93" s="5" t="str">
        <f t="shared" si="132"/>
        <v>нет</v>
      </c>
      <c r="AS93" s="5" t="str">
        <f>""</f>
        <v/>
      </c>
      <c r="AT93" s="5" t="str">
        <f>""</f>
        <v/>
      </c>
      <c r="AU93" s="5" t="str">
        <f>""</f>
        <v/>
      </c>
      <c r="AV93" s="5" t="str">
        <f>"1984"</f>
        <v>1984</v>
      </c>
      <c r="AW93" s="5" t="str">
        <f>"47,00"</f>
        <v>47,00</v>
      </c>
      <c r="AX93" s="5" t="str">
        <f>"2016"</f>
        <v>2016</v>
      </c>
      <c r="AY93" s="5" t="str">
        <f t="shared" si="133"/>
        <v>нет</v>
      </c>
      <c r="AZ93" s="5" t="str">
        <f>""</f>
        <v/>
      </c>
      <c r="BA93" s="5" t="str">
        <f>""</f>
        <v/>
      </c>
      <c r="BB93" s="5" t="str">
        <f>""</f>
        <v/>
      </c>
      <c r="BC93" s="5" t="str">
        <f t="shared" si="134"/>
        <v>нет</v>
      </c>
      <c r="BD93" s="5" t="str">
        <f>""</f>
        <v/>
      </c>
      <c r="BE93" s="5" t="str">
        <f>""</f>
        <v/>
      </c>
      <c r="BF93" s="5" t="str">
        <f>""</f>
        <v/>
      </c>
      <c r="BG93" s="5" t="str">
        <f>"1984"</f>
        <v>1984</v>
      </c>
      <c r="BH93" s="5" t="str">
        <f>"47,00"</f>
        <v>47,00</v>
      </c>
      <c r="BI93" s="5" t="str">
        <f>"2016"</f>
        <v>2016</v>
      </c>
      <c r="BJ93" s="5" t="str">
        <f t="shared" si="135"/>
        <v>нет</v>
      </c>
      <c r="BK93" s="5" t="str">
        <f>""</f>
        <v/>
      </c>
      <c r="BL93" s="5" t="str">
        <f>""</f>
        <v/>
      </c>
      <c r="BM93" s="5" t="str">
        <f>""</f>
        <v/>
      </c>
      <c r="BN93" s="5" t="str">
        <f t="shared" si="136"/>
        <v>нет</v>
      </c>
      <c r="BO93" s="5" t="str">
        <f>""</f>
        <v/>
      </c>
      <c r="BP93" s="5" t="str">
        <f>""</f>
        <v/>
      </c>
      <c r="BQ93" s="5" t="str">
        <f>""</f>
        <v/>
      </c>
      <c r="BR93" s="5" t="str">
        <f>"1984"</f>
        <v>1984</v>
      </c>
      <c r="BS93" s="5" t="str">
        <f>"50,00"</f>
        <v>50,00</v>
      </c>
      <c r="BT93" s="5" t="str">
        <f>"2016"</f>
        <v>2016</v>
      </c>
      <c r="BU93" s="5" t="str">
        <f t="shared" si="107"/>
        <v>нет</v>
      </c>
      <c r="BV93" s="5" t="str">
        <f t="shared" si="105"/>
        <v>x</v>
      </c>
      <c r="BW93" s="5" t="str">
        <f t="shared" si="105"/>
        <v>x</v>
      </c>
      <c r="BX93" s="5" t="str">
        <f t="shared" si="105"/>
        <v>x</v>
      </c>
      <c r="BY93" s="5" t="str">
        <f t="shared" si="101"/>
        <v>нет</v>
      </c>
      <c r="BZ93" s="5" t="str">
        <f>"1984"</f>
        <v>1984</v>
      </c>
      <c r="CA93" s="5" t="str">
        <f>"22,00"</f>
        <v>22,00</v>
      </c>
      <c r="CB93" s="5" t="str">
        <f>"2020"</f>
        <v>2020</v>
      </c>
      <c r="CC93" s="5" t="str">
        <f>"1984"</f>
        <v>1984</v>
      </c>
      <c r="CD93" s="5" t="str">
        <f>"22,00"</f>
        <v>22,00</v>
      </c>
      <c r="CE93" s="5" t="str">
        <f>"2020"</f>
        <v>2020</v>
      </c>
      <c r="CF93" s="5" t="str">
        <f>"1984"</f>
        <v>1984</v>
      </c>
      <c r="CG93" s="5" t="str">
        <f>"15,00"</f>
        <v>15,00</v>
      </c>
      <c r="CH93" s="5" t="str">
        <f>"2020"</f>
        <v>2020</v>
      </c>
      <c r="CI93" s="5" t="str">
        <f>"26,00"</f>
        <v>26,00</v>
      </c>
      <c r="CJ93" s="5" t="str">
        <f>"2043"</f>
        <v>2043</v>
      </c>
    </row>
    <row r="94" spans="1:88" ht="11.25" customHeight="1">
      <c r="A94" s="3" t="str">
        <f>"1.81"</f>
        <v>1.81</v>
      </c>
      <c r="B94" s="4" t="str">
        <f>"г. Грязовец, ул. Гражданская, д.30"</f>
        <v>г. Грязовец, ул. Гражданская, д.30</v>
      </c>
      <c r="C94" s="7" t="str">
        <f>"1986"</f>
        <v>1986</v>
      </c>
      <c r="D94" s="5" t="str">
        <f>"1986"</f>
        <v>1986</v>
      </c>
      <c r="E94" s="5" t="str">
        <f>"11,00"</f>
        <v>11,00</v>
      </c>
      <c r="F94" s="5" t="str">
        <f>"2028"</f>
        <v>2028</v>
      </c>
      <c r="G94" s="5" t="str">
        <f>"нет"</f>
        <v>нет</v>
      </c>
      <c r="H94" s="5" t="str">
        <f>""</f>
        <v/>
      </c>
      <c r="I94" s="5" t="str">
        <f>""</f>
        <v/>
      </c>
      <c r="J94" s="5" t="str">
        <f>""</f>
        <v/>
      </c>
      <c r="K94" s="5" t="str">
        <f>"нет"</f>
        <v>нет</v>
      </c>
      <c r="L94" s="5" t="str">
        <f>""</f>
        <v/>
      </c>
      <c r="M94" s="5" t="str">
        <f>""</f>
        <v/>
      </c>
      <c r="N94" s="5" t="str">
        <f>""</f>
        <v/>
      </c>
      <c r="O94" s="8" t="str">
        <f>"1986"</f>
        <v>1986</v>
      </c>
      <c r="P94" s="5" t="str">
        <f>"11,50"</f>
        <v>11,50</v>
      </c>
      <c r="Q94" s="5" t="str">
        <f>"2027"</f>
        <v>2027</v>
      </c>
      <c r="R94" s="5" t="str">
        <f t="shared" si="127"/>
        <v>нет</v>
      </c>
      <c r="S94" s="5" t="str">
        <f t="shared" ref="S94:U97" si="137">"х"</f>
        <v>х</v>
      </c>
      <c r="T94" s="5" t="str">
        <f t="shared" si="137"/>
        <v>х</v>
      </c>
      <c r="U94" s="5" t="str">
        <f t="shared" si="137"/>
        <v>х</v>
      </c>
      <c r="V94" s="5" t="str">
        <f t="shared" si="128"/>
        <v>нет</v>
      </c>
      <c r="W94" s="5" t="str">
        <f t="shared" ref="W94:Y97" si="138">"х"</f>
        <v>х</v>
      </c>
      <c r="X94" s="5" t="str">
        <f t="shared" si="138"/>
        <v>х</v>
      </c>
      <c r="Y94" s="9" t="str">
        <f t="shared" si="138"/>
        <v>х</v>
      </c>
      <c r="Z94" s="5" t="str">
        <f>"1986"</f>
        <v>1986</v>
      </c>
      <c r="AA94" s="5" t="str">
        <f>"9,00"</f>
        <v>9,00</v>
      </c>
      <c r="AB94" s="5" t="str">
        <f>"2028"</f>
        <v>2028</v>
      </c>
      <c r="AC94" s="5" t="str">
        <f t="shared" si="129"/>
        <v>нет</v>
      </c>
      <c r="AD94" s="5" t="str">
        <f>""</f>
        <v/>
      </c>
      <c r="AE94" s="5" t="str">
        <f>""</f>
        <v/>
      </c>
      <c r="AF94" s="5" t="str">
        <f>""</f>
        <v/>
      </c>
      <c r="AG94" s="5" t="str">
        <f t="shared" si="130"/>
        <v>нет</v>
      </c>
      <c r="AH94" s="5" t="str">
        <f>""</f>
        <v/>
      </c>
      <c r="AI94" s="5" t="str">
        <f>""</f>
        <v/>
      </c>
      <c r="AJ94" s="5" t="str">
        <f>""</f>
        <v/>
      </c>
      <c r="AK94" s="8" t="str">
        <f>"1986"</f>
        <v>1986</v>
      </c>
      <c r="AL94" s="5" t="str">
        <f>"13,00"</f>
        <v>13,00</v>
      </c>
      <c r="AM94" s="5" t="str">
        <f>"2028"</f>
        <v>2028</v>
      </c>
      <c r="AN94" s="5" t="str">
        <f t="shared" si="131"/>
        <v>нет</v>
      </c>
      <c r="AO94" s="5" t="str">
        <f t="shared" ref="AO94:AQ97" si="139">"х"</f>
        <v>х</v>
      </c>
      <c r="AP94" s="5" t="str">
        <f t="shared" si="139"/>
        <v>х</v>
      </c>
      <c r="AQ94" s="5" t="str">
        <f t="shared" si="139"/>
        <v>х</v>
      </c>
      <c r="AR94" s="5" t="str">
        <f t="shared" si="132"/>
        <v>нет</v>
      </c>
      <c r="AS94" s="5" t="str">
        <f t="shared" ref="AS94:AU97" si="140">"х"</f>
        <v>х</v>
      </c>
      <c r="AT94" s="5" t="str">
        <f t="shared" si="140"/>
        <v>х</v>
      </c>
      <c r="AU94" s="5" t="str">
        <f t="shared" si="140"/>
        <v>х</v>
      </c>
      <c r="AV94" s="5" t="str">
        <f>"1986"</f>
        <v>1986</v>
      </c>
      <c r="AW94" s="5" t="str">
        <f>"14,00"</f>
        <v>14,00</v>
      </c>
      <c r="AX94" s="5" t="str">
        <f>"2028"</f>
        <v>2028</v>
      </c>
      <c r="AY94" s="5" t="str">
        <f t="shared" si="133"/>
        <v>нет</v>
      </c>
      <c r="AZ94" s="5" t="str">
        <f t="shared" ref="AZ94:BB97" si="141">"х"</f>
        <v>х</v>
      </c>
      <c r="BA94" s="5" t="str">
        <f t="shared" si="141"/>
        <v>х</v>
      </c>
      <c r="BB94" s="5" t="str">
        <f t="shared" si="141"/>
        <v>х</v>
      </c>
      <c r="BC94" s="5" t="str">
        <f t="shared" si="134"/>
        <v>нет</v>
      </c>
      <c r="BD94" s="5" t="str">
        <f t="shared" ref="BD94:BF97" si="142">"х"</f>
        <v>х</v>
      </c>
      <c r="BE94" s="5" t="str">
        <f t="shared" si="142"/>
        <v>х</v>
      </c>
      <c r="BF94" s="5" t="str">
        <f t="shared" si="142"/>
        <v>х</v>
      </c>
      <c r="BG94" s="5" t="str">
        <f>"1986"</f>
        <v>1986</v>
      </c>
      <c r="BH94" s="5" t="str">
        <f>"14,50"</f>
        <v>14,50</v>
      </c>
      <c r="BI94" s="5" t="str">
        <f>"2026"</f>
        <v>2026</v>
      </c>
      <c r="BJ94" s="5" t="str">
        <f t="shared" si="135"/>
        <v>нет</v>
      </c>
      <c r="BK94" s="5" t="str">
        <f t="shared" ref="BK94:BM97" si="143">"х"</f>
        <v>х</v>
      </c>
      <c r="BL94" s="5" t="str">
        <f t="shared" si="143"/>
        <v>х</v>
      </c>
      <c r="BM94" s="5" t="str">
        <f t="shared" si="143"/>
        <v>х</v>
      </c>
      <c r="BN94" s="5" t="str">
        <f t="shared" si="136"/>
        <v>нет</v>
      </c>
      <c r="BO94" s="5" t="str">
        <f t="shared" ref="BO94:BQ97" si="144">"х"</f>
        <v>х</v>
      </c>
      <c r="BP94" s="5" t="str">
        <f t="shared" si="144"/>
        <v>х</v>
      </c>
      <c r="BQ94" s="5" t="str">
        <f t="shared" si="144"/>
        <v>х</v>
      </c>
      <c r="BR94" s="5" t="str">
        <f>"1986"</f>
        <v>1986</v>
      </c>
      <c r="BS94" s="5" t="str">
        <f>"16,00"</f>
        <v>16,00</v>
      </c>
      <c r="BT94" s="5" t="str">
        <f>"2027"</f>
        <v>2027</v>
      </c>
      <c r="BU94" s="5" t="str">
        <f t="shared" si="107"/>
        <v>нет</v>
      </c>
      <c r="BV94" s="5" t="str">
        <f t="shared" ref="BV94:BX113" si="145">"x"</f>
        <v>x</v>
      </c>
      <c r="BW94" s="5" t="str">
        <f t="shared" si="145"/>
        <v>x</v>
      </c>
      <c r="BX94" s="5" t="str">
        <f t="shared" si="145"/>
        <v>x</v>
      </c>
      <c r="BY94" s="5" t="str">
        <f t="shared" si="101"/>
        <v>нет</v>
      </c>
      <c r="BZ94" s="5" t="str">
        <f>"1986"</f>
        <v>1986</v>
      </c>
      <c r="CA94" s="5" t="str">
        <f>"16,00"</f>
        <v>16,00</v>
      </c>
      <c r="CB94" s="5" t="str">
        <f>"2027"</f>
        <v>2027</v>
      </c>
      <c r="CC94" s="5" t="str">
        <f>"1986"</f>
        <v>1986</v>
      </c>
      <c r="CD94" s="5" t="str">
        <f>"13,00"</f>
        <v>13,00</v>
      </c>
      <c r="CE94" s="5" t="str">
        <f>"2028"</f>
        <v>2028</v>
      </c>
      <c r="CF94" s="5" t="str">
        <f>"1986"</f>
        <v>1986</v>
      </c>
      <c r="CG94" s="5" t="str">
        <f>"16,00"</f>
        <v>16,00</v>
      </c>
      <c r="CH94" s="5" t="str">
        <f>"2025"</f>
        <v>2025</v>
      </c>
      <c r="CI94" s="5" t="str">
        <f>"16,00"</f>
        <v>16,00</v>
      </c>
      <c r="CJ94" s="5" t="str">
        <f>"2044"</f>
        <v>2044</v>
      </c>
    </row>
    <row r="95" spans="1:88" ht="11.25" customHeight="1">
      <c r="A95" s="3" t="str">
        <f>"1.82"</f>
        <v>1.82</v>
      </c>
      <c r="B95" s="4" t="str">
        <f>"г. Грязовец, ул. Гражданская, д.64"</f>
        <v>г. Грязовец, ул. Гражданская, д.64</v>
      </c>
      <c r="C95" s="7" t="str">
        <f>"1980"</f>
        <v>1980</v>
      </c>
      <c r="D95" s="5" t="str">
        <f>"1980"</f>
        <v>1980</v>
      </c>
      <c r="E95" s="5" t="str">
        <f>"64,00"</f>
        <v>64,00</v>
      </c>
      <c r="F95" s="5" t="str">
        <f>"2019"</f>
        <v>2019</v>
      </c>
      <c r="G95" s="5" t="str">
        <f>"да"</f>
        <v>да</v>
      </c>
      <c r="H95" s="5" t="str">
        <f>""</f>
        <v/>
      </c>
      <c r="I95" s="5" t="str">
        <f>"55,00"</f>
        <v>55,00</v>
      </c>
      <c r="J95" s="5" t="str">
        <f>"2019"</f>
        <v>2019</v>
      </c>
      <c r="K95" s="5" t="str">
        <f>"да"</f>
        <v>да</v>
      </c>
      <c r="L95" s="5" t="str">
        <f>""</f>
        <v/>
      </c>
      <c r="M95" s="5" t="str">
        <f>"55,00"</f>
        <v>55,00</v>
      </c>
      <c r="N95" s="5" t="str">
        <f>"2019"</f>
        <v>2019</v>
      </c>
      <c r="O95" s="8" t="str">
        <f>"1980"</f>
        <v>1980</v>
      </c>
      <c r="P95" s="5" t="str">
        <f>"69,00"</f>
        <v>69,00</v>
      </c>
      <c r="Q95" s="5" t="str">
        <f>"2019"</f>
        <v>2019</v>
      </c>
      <c r="R95" s="5" t="str">
        <f t="shared" si="127"/>
        <v>нет</v>
      </c>
      <c r="S95" s="5" t="str">
        <f t="shared" si="137"/>
        <v>х</v>
      </c>
      <c r="T95" s="5" t="str">
        <f t="shared" si="137"/>
        <v>х</v>
      </c>
      <c r="U95" s="5" t="str">
        <f t="shared" si="137"/>
        <v>х</v>
      </c>
      <c r="V95" s="5" t="str">
        <f t="shared" si="128"/>
        <v>нет</v>
      </c>
      <c r="W95" s="5" t="str">
        <f t="shared" si="138"/>
        <v>х</v>
      </c>
      <c r="X95" s="5" t="str">
        <f t="shared" si="138"/>
        <v>х</v>
      </c>
      <c r="Y95" s="9" t="str">
        <f t="shared" si="138"/>
        <v>х</v>
      </c>
      <c r="Z95" s="5" t="str">
        <f>"1980"</f>
        <v>1980</v>
      </c>
      <c r="AA95" s="5" t="str">
        <f>"54,00"</f>
        <v>54,00</v>
      </c>
      <c r="AB95" s="5" t="str">
        <f>"2019"</f>
        <v>2019</v>
      </c>
      <c r="AC95" s="5" t="str">
        <f t="shared" si="129"/>
        <v>нет</v>
      </c>
      <c r="AD95" s="5" t="str">
        <f>""</f>
        <v/>
      </c>
      <c r="AE95" s="5" t="str">
        <f>""</f>
        <v/>
      </c>
      <c r="AF95" s="5" t="str">
        <f>""</f>
        <v/>
      </c>
      <c r="AG95" s="5" t="str">
        <f t="shared" si="130"/>
        <v>нет</v>
      </c>
      <c r="AH95" s="5" t="str">
        <f>""</f>
        <v/>
      </c>
      <c r="AI95" s="5" t="str">
        <f>""</f>
        <v/>
      </c>
      <c r="AJ95" s="5" t="str">
        <f>""</f>
        <v/>
      </c>
      <c r="AK95" s="8" t="str">
        <f>"1980"</f>
        <v>1980</v>
      </c>
      <c r="AL95" s="5" t="str">
        <f>"69,00"</f>
        <v>69,00</v>
      </c>
      <c r="AM95" s="5" t="str">
        <f>"2019"</f>
        <v>2019</v>
      </c>
      <c r="AN95" s="5" t="str">
        <f t="shared" si="131"/>
        <v>нет</v>
      </c>
      <c r="AO95" s="5" t="str">
        <f t="shared" si="139"/>
        <v>х</v>
      </c>
      <c r="AP95" s="5" t="str">
        <f t="shared" si="139"/>
        <v>х</v>
      </c>
      <c r="AQ95" s="5" t="str">
        <f t="shared" si="139"/>
        <v>х</v>
      </c>
      <c r="AR95" s="5" t="str">
        <f t="shared" si="132"/>
        <v>нет</v>
      </c>
      <c r="AS95" s="5" t="str">
        <f t="shared" si="140"/>
        <v>х</v>
      </c>
      <c r="AT95" s="5" t="str">
        <f t="shared" si="140"/>
        <v>х</v>
      </c>
      <c r="AU95" s="5" t="str">
        <f t="shared" si="140"/>
        <v>х</v>
      </c>
      <c r="AV95" s="5" t="str">
        <f>"1980"</f>
        <v>1980</v>
      </c>
      <c r="AW95" s="5" t="str">
        <f>"69,00"</f>
        <v>69,00</v>
      </c>
      <c r="AX95" s="5" t="str">
        <f>"2019"</f>
        <v>2019</v>
      </c>
      <c r="AY95" s="5" t="str">
        <f t="shared" si="133"/>
        <v>нет</v>
      </c>
      <c r="AZ95" s="5" t="str">
        <f t="shared" si="141"/>
        <v>х</v>
      </c>
      <c r="BA95" s="5" t="str">
        <f t="shared" si="141"/>
        <v>х</v>
      </c>
      <c r="BB95" s="5" t="str">
        <f t="shared" si="141"/>
        <v>х</v>
      </c>
      <c r="BC95" s="5" t="str">
        <f t="shared" si="134"/>
        <v>нет</v>
      </c>
      <c r="BD95" s="5" t="str">
        <f t="shared" si="142"/>
        <v>х</v>
      </c>
      <c r="BE95" s="5" t="str">
        <f t="shared" si="142"/>
        <v>х</v>
      </c>
      <c r="BF95" s="5" t="str">
        <f t="shared" si="142"/>
        <v>х</v>
      </c>
      <c r="BG95" s="5" t="str">
        <f>"1980"</f>
        <v>1980</v>
      </c>
      <c r="BH95" s="5" t="str">
        <f>"69,00"</f>
        <v>69,00</v>
      </c>
      <c r="BI95" s="5" t="str">
        <f>"2019"</f>
        <v>2019</v>
      </c>
      <c r="BJ95" s="5" t="str">
        <f t="shared" si="135"/>
        <v>нет</v>
      </c>
      <c r="BK95" s="5" t="str">
        <f t="shared" si="143"/>
        <v>х</v>
      </c>
      <c r="BL95" s="5" t="str">
        <f t="shared" si="143"/>
        <v>х</v>
      </c>
      <c r="BM95" s="5" t="str">
        <f t="shared" si="143"/>
        <v>х</v>
      </c>
      <c r="BN95" s="5" t="str">
        <f t="shared" si="136"/>
        <v>нет</v>
      </c>
      <c r="BO95" s="5" t="str">
        <f t="shared" si="144"/>
        <v>х</v>
      </c>
      <c r="BP95" s="5" t="str">
        <f t="shared" si="144"/>
        <v>х</v>
      </c>
      <c r="BQ95" s="5" t="str">
        <f t="shared" si="144"/>
        <v>х</v>
      </c>
      <c r="BR95" s="5" t="str">
        <f>"1980"</f>
        <v>1980</v>
      </c>
      <c r="BS95" s="5" t="str">
        <f>"74,00"</f>
        <v>74,00</v>
      </c>
      <c r="BT95" s="5" t="str">
        <f>"2020"</f>
        <v>2020</v>
      </c>
      <c r="BU95" s="5" t="str">
        <f t="shared" si="107"/>
        <v>нет</v>
      </c>
      <c r="BV95" s="5" t="str">
        <f t="shared" si="145"/>
        <v>x</v>
      </c>
      <c r="BW95" s="5" t="str">
        <f t="shared" si="145"/>
        <v>x</v>
      </c>
      <c r="BX95" s="5" t="str">
        <f t="shared" si="145"/>
        <v>x</v>
      </c>
      <c r="BY95" s="5" t="str">
        <f t="shared" si="101"/>
        <v>нет</v>
      </c>
      <c r="BZ95" s="5" t="str">
        <f>"1980"</f>
        <v>1980</v>
      </c>
      <c r="CA95" s="5" t="str">
        <f>"59,00"</f>
        <v>59,00</v>
      </c>
      <c r="CB95" s="5" t="str">
        <f>"2020"</f>
        <v>2020</v>
      </c>
      <c r="CC95" s="5" t="str">
        <f>"1980"</f>
        <v>1980</v>
      </c>
      <c r="CD95" s="5" t="str">
        <f>"59,00"</f>
        <v>59,00</v>
      </c>
      <c r="CE95" s="5" t="str">
        <f>"2020"</f>
        <v>2020</v>
      </c>
      <c r="CF95" s="5" t="str">
        <f>"1980"</f>
        <v>1980</v>
      </c>
      <c r="CG95" s="5" t="str">
        <f>"74,00"</f>
        <v>74,00</v>
      </c>
      <c r="CH95" s="5" t="str">
        <f>"2019"</f>
        <v>2019</v>
      </c>
      <c r="CI95" s="5" t="str">
        <f>"59,00"</f>
        <v>59,00</v>
      </c>
      <c r="CJ95" s="5" t="str">
        <f>"2040"</f>
        <v>2040</v>
      </c>
    </row>
    <row r="96" spans="1:88" ht="11.25" customHeight="1">
      <c r="A96" s="3" t="str">
        <f>"1.83"</f>
        <v>1.83</v>
      </c>
      <c r="B96" s="4" t="str">
        <f>"г. Грязовец, ул. Гражданская, д.67"</f>
        <v>г. Грязовец, ул. Гражданская, д.67</v>
      </c>
      <c r="C96" s="7" t="str">
        <f>"1977"</f>
        <v>1977</v>
      </c>
      <c r="D96" s="5" t="str">
        <f>"1977"</f>
        <v>1977</v>
      </c>
      <c r="E96" s="5" t="str">
        <f>"54,00"</f>
        <v>54,00</v>
      </c>
      <c r="F96" s="5" t="str">
        <f>"2020"</f>
        <v>2020</v>
      </c>
      <c r="G96" s="5" t="str">
        <f>"да"</f>
        <v>да</v>
      </c>
      <c r="H96" s="5" t="str">
        <f>""</f>
        <v/>
      </c>
      <c r="I96" s="5" t="str">
        <f>"50,00"</f>
        <v>50,00</v>
      </c>
      <c r="J96" s="5" t="str">
        <f>"2020"</f>
        <v>2020</v>
      </c>
      <c r="K96" s="5" t="str">
        <f>"да"</f>
        <v>да</v>
      </c>
      <c r="L96" s="5" t="str">
        <f>""</f>
        <v/>
      </c>
      <c r="M96" s="5" t="str">
        <f>"50,00"</f>
        <v>50,00</v>
      </c>
      <c r="N96" s="5" t="str">
        <f>"2020"</f>
        <v>2020</v>
      </c>
      <c r="O96" s="8" t="str">
        <f>"1977"</f>
        <v>1977</v>
      </c>
      <c r="P96" s="5" t="str">
        <f>"59,00"</f>
        <v>59,00</v>
      </c>
      <c r="Q96" s="5" t="str">
        <f>"2020"</f>
        <v>2020</v>
      </c>
      <c r="R96" s="5" t="str">
        <f t="shared" si="127"/>
        <v>нет</v>
      </c>
      <c r="S96" s="5" t="str">
        <f t="shared" si="137"/>
        <v>х</v>
      </c>
      <c r="T96" s="5" t="str">
        <f t="shared" si="137"/>
        <v>х</v>
      </c>
      <c r="U96" s="5" t="str">
        <f t="shared" si="137"/>
        <v>х</v>
      </c>
      <c r="V96" s="5" t="str">
        <f t="shared" si="128"/>
        <v>нет</v>
      </c>
      <c r="W96" s="5" t="str">
        <f t="shared" si="138"/>
        <v>х</v>
      </c>
      <c r="X96" s="5" t="str">
        <f t="shared" si="138"/>
        <v>х</v>
      </c>
      <c r="Y96" s="9" t="str">
        <f t="shared" si="138"/>
        <v>х</v>
      </c>
      <c r="Z96" s="5" t="str">
        <f>"1977"</f>
        <v>1977</v>
      </c>
      <c r="AA96" s="5" t="str">
        <f>"44,00"</f>
        <v>44,00</v>
      </c>
      <c r="AB96" s="5" t="str">
        <f>"2025"</f>
        <v>2025</v>
      </c>
      <c r="AC96" s="5" t="str">
        <f t="shared" si="129"/>
        <v>нет</v>
      </c>
      <c r="AD96" s="5" t="str">
        <f>""</f>
        <v/>
      </c>
      <c r="AE96" s="5" t="str">
        <f>""</f>
        <v/>
      </c>
      <c r="AF96" s="5" t="str">
        <f>""</f>
        <v/>
      </c>
      <c r="AG96" s="5" t="str">
        <f t="shared" si="130"/>
        <v>нет</v>
      </c>
      <c r="AH96" s="5" t="str">
        <f>""</f>
        <v/>
      </c>
      <c r="AI96" s="5" t="str">
        <f>""</f>
        <v/>
      </c>
      <c r="AJ96" s="5" t="str">
        <f>""</f>
        <v/>
      </c>
      <c r="AK96" s="8" t="str">
        <f>"1977"</f>
        <v>1977</v>
      </c>
      <c r="AL96" s="5" t="str">
        <f>"59,00"</f>
        <v>59,00</v>
      </c>
      <c r="AM96" s="5" t="str">
        <f>"2020"</f>
        <v>2020</v>
      </c>
      <c r="AN96" s="5" t="str">
        <f t="shared" si="131"/>
        <v>нет</v>
      </c>
      <c r="AO96" s="5" t="str">
        <f t="shared" si="139"/>
        <v>х</v>
      </c>
      <c r="AP96" s="5" t="str">
        <f t="shared" si="139"/>
        <v>х</v>
      </c>
      <c r="AQ96" s="5" t="str">
        <f t="shared" si="139"/>
        <v>х</v>
      </c>
      <c r="AR96" s="5" t="str">
        <f t="shared" si="132"/>
        <v>нет</v>
      </c>
      <c r="AS96" s="5" t="str">
        <f t="shared" si="140"/>
        <v>х</v>
      </c>
      <c r="AT96" s="5" t="str">
        <f t="shared" si="140"/>
        <v>х</v>
      </c>
      <c r="AU96" s="5" t="str">
        <f t="shared" si="140"/>
        <v>х</v>
      </c>
      <c r="AV96" s="5" t="str">
        <f>"1977"</f>
        <v>1977</v>
      </c>
      <c r="AW96" s="5" t="str">
        <f>"59,00"</f>
        <v>59,00</v>
      </c>
      <c r="AX96" s="5" t="str">
        <f>"2020"</f>
        <v>2020</v>
      </c>
      <c r="AY96" s="5" t="str">
        <f t="shared" si="133"/>
        <v>нет</v>
      </c>
      <c r="AZ96" s="5" t="str">
        <f t="shared" si="141"/>
        <v>х</v>
      </c>
      <c r="BA96" s="5" t="str">
        <f t="shared" si="141"/>
        <v>х</v>
      </c>
      <c r="BB96" s="5" t="str">
        <f t="shared" si="141"/>
        <v>х</v>
      </c>
      <c r="BC96" s="5" t="str">
        <f t="shared" si="134"/>
        <v>нет</v>
      </c>
      <c r="BD96" s="5" t="str">
        <f t="shared" si="142"/>
        <v>х</v>
      </c>
      <c r="BE96" s="5" t="str">
        <f t="shared" si="142"/>
        <v>х</v>
      </c>
      <c r="BF96" s="5" t="str">
        <f t="shared" si="142"/>
        <v>х</v>
      </c>
      <c r="BG96" s="5" t="str">
        <f>"1977"</f>
        <v>1977</v>
      </c>
      <c r="BH96" s="5" t="str">
        <f>"59,00"</f>
        <v>59,00</v>
      </c>
      <c r="BI96" s="5" t="str">
        <f>"2032"</f>
        <v>2032</v>
      </c>
      <c r="BJ96" s="5" t="str">
        <f t="shared" si="135"/>
        <v>нет</v>
      </c>
      <c r="BK96" s="5" t="str">
        <f t="shared" si="143"/>
        <v>х</v>
      </c>
      <c r="BL96" s="5" t="str">
        <f t="shared" si="143"/>
        <v>х</v>
      </c>
      <c r="BM96" s="5" t="str">
        <f t="shared" si="143"/>
        <v>х</v>
      </c>
      <c r="BN96" s="5" t="str">
        <f t="shared" si="136"/>
        <v>нет</v>
      </c>
      <c r="BO96" s="5" t="str">
        <f t="shared" si="144"/>
        <v>х</v>
      </c>
      <c r="BP96" s="5" t="str">
        <f t="shared" si="144"/>
        <v>х</v>
      </c>
      <c r="BQ96" s="5" t="str">
        <f t="shared" si="144"/>
        <v>х</v>
      </c>
      <c r="BR96" s="5" t="str">
        <f>"1977"</f>
        <v>1977</v>
      </c>
      <c r="BS96" s="5" t="str">
        <f>"64,00"</f>
        <v>64,00</v>
      </c>
      <c r="BT96" s="5" t="str">
        <f>"2019"</f>
        <v>2019</v>
      </c>
      <c r="BU96" s="5" t="str">
        <f t="shared" si="107"/>
        <v>нет</v>
      </c>
      <c r="BV96" s="5" t="str">
        <f t="shared" si="145"/>
        <v>x</v>
      </c>
      <c r="BW96" s="5" t="str">
        <f t="shared" si="145"/>
        <v>x</v>
      </c>
      <c r="BX96" s="5" t="str">
        <f t="shared" si="145"/>
        <v>x</v>
      </c>
      <c r="BY96" s="5" t="str">
        <f t="shared" si="101"/>
        <v>нет</v>
      </c>
      <c r="BZ96" s="5" t="str">
        <f>"1977"</f>
        <v>1977</v>
      </c>
      <c r="CA96" s="5" t="str">
        <f>"49,00"</f>
        <v>49,00</v>
      </c>
      <c r="CB96" s="5" t="str">
        <f>"2025"</f>
        <v>2025</v>
      </c>
      <c r="CC96" s="5" t="str">
        <f>"1977"</f>
        <v>1977</v>
      </c>
      <c r="CD96" s="5" t="str">
        <f>"49,00"</f>
        <v>49,00</v>
      </c>
      <c r="CE96" s="5" t="str">
        <f>"2025"</f>
        <v>2025</v>
      </c>
      <c r="CF96" s="5" t="str">
        <f>"1977"</f>
        <v>1977</v>
      </c>
      <c r="CG96" s="5" t="str">
        <f>"64,00"</f>
        <v>64,00</v>
      </c>
      <c r="CH96" s="5" t="str">
        <f>"2019"</f>
        <v>2019</v>
      </c>
      <c r="CI96" s="5" t="str">
        <f>"49,00"</f>
        <v>49,00</v>
      </c>
      <c r="CJ96" s="5" t="str">
        <f>"2040"</f>
        <v>2040</v>
      </c>
    </row>
    <row r="97" spans="1:88" ht="11.25" customHeight="1">
      <c r="A97" s="3" t="str">
        <f>"1.84"</f>
        <v>1.84</v>
      </c>
      <c r="B97" s="4" t="str">
        <f>"г. Грязовец, ул. Дачная, д.9А"</f>
        <v>г. Грязовец, ул. Дачная, д.9А</v>
      </c>
      <c r="C97" s="7" t="str">
        <f>"1999"</f>
        <v>1999</v>
      </c>
      <c r="D97" s="5" t="str">
        <f>"1999"</f>
        <v>1999</v>
      </c>
      <c r="E97" s="5" t="str">
        <f>"57,00"</f>
        <v>57,00</v>
      </c>
      <c r="F97" s="5" t="str">
        <f>"2020"</f>
        <v>2020</v>
      </c>
      <c r="G97" s="5" t="str">
        <f>"да"</f>
        <v>да</v>
      </c>
      <c r="H97" s="5" t="str">
        <f>""</f>
        <v/>
      </c>
      <c r="I97" s="5" t="str">
        <f>"50,00"</f>
        <v>50,00</v>
      </c>
      <c r="J97" s="5" t="str">
        <f>"2020"</f>
        <v>2020</v>
      </c>
      <c r="K97" s="5" t="str">
        <f>"да"</f>
        <v>да</v>
      </c>
      <c r="L97" s="5" t="str">
        <f>""</f>
        <v/>
      </c>
      <c r="M97" s="5" t="str">
        <f>"50,00"</f>
        <v>50,00</v>
      </c>
      <c r="N97" s="5" t="str">
        <f>"2020"</f>
        <v>2020</v>
      </c>
      <c r="O97" s="8" t="str">
        <f>"1999"</f>
        <v>1999</v>
      </c>
      <c r="P97" s="5" t="str">
        <f>"62,00"</f>
        <v>62,00</v>
      </c>
      <c r="Q97" s="5" t="str">
        <f>"2019"</f>
        <v>2019</v>
      </c>
      <c r="R97" s="5" t="str">
        <f t="shared" si="127"/>
        <v>нет</v>
      </c>
      <c r="S97" s="5" t="str">
        <f t="shared" si="137"/>
        <v>х</v>
      </c>
      <c r="T97" s="5" t="str">
        <f t="shared" si="137"/>
        <v>х</v>
      </c>
      <c r="U97" s="5" t="str">
        <f t="shared" si="137"/>
        <v>х</v>
      </c>
      <c r="V97" s="5" t="str">
        <f t="shared" si="128"/>
        <v>нет</v>
      </c>
      <c r="W97" s="5" t="str">
        <f t="shared" si="138"/>
        <v>х</v>
      </c>
      <c r="X97" s="5" t="str">
        <f t="shared" si="138"/>
        <v>х</v>
      </c>
      <c r="Y97" s="9" t="str">
        <f t="shared" si="138"/>
        <v>х</v>
      </c>
      <c r="Z97" s="5" t="str">
        <f>"1999"</f>
        <v>1999</v>
      </c>
      <c r="AA97" s="5" t="str">
        <f>"47,00"</f>
        <v>47,00</v>
      </c>
      <c r="AB97" s="5" t="str">
        <f>"2025"</f>
        <v>2025</v>
      </c>
      <c r="AC97" s="5" t="str">
        <f t="shared" si="129"/>
        <v>нет</v>
      </c>
      <c r="AD97" s="5" t="str">
        <f>""</f>
        <v/>
      </c>
      <c r="AE97" s="5" t="str">
        <f>""</f>
        <v/>
      </c>
      <c r="AF97" s="5" t="str">
        <f>""</f>
        <v/>
      </c>
      <c r="AG97" s="5" t="str">
        <f t="shared" si="130"/>
        <v>нет</v>
      </c>
      <c r="AH97" s="5" t="str">
        <f>""</f>
        <v/>
      </c>
      <c r="AI97" s="5" t="str">
        <f>""</f>
        <v/>
      </c>
      <c r="AJ97" s="5" t="str">
        <f>""</f>
        <v/>
      </c>
      <c r="AK97" s="8" t="str">
        <f>"1999"</f>
        <v>1999</v>
      </c>
      <c r="AL97" s="5" t="str">
        <f>"62,00"</f>
        <v>62,00</v>
      </c>
      <c r="AM97" s="5" t="str">
        <f>"2019"</f>
        <v>2019</v>
      </c>
      <c r="AN97" s="5" t="str">
        <f t="shared" si="131"/>
        <v>нет</v>
      </c>
      <c r="AO97" s="5" t="str">
        <f t="shared" si="139"/>
        <v>х</v>
      </c>
      <c r="AP97" s="5" t="str">
        <f t="shared" si="139"/>
        <v>х</v>
      </c>
      <c r="AQ97" s="5" t="str">
        <f t="shared" si="139"/>
        <v>х</v>
      </c>
      <c r="AR97" s="5" t="str">
        <f t="shared" si="132"/>
        <v>нет</v>
      </c>
      <c r="AS97" s="5" t="str">
        <f t="shared" si="140"/>
        <v>х</v>
      </c>
      <c r="AT97" s="5" t="str">
        <f t="shared" si="140"/>
        <v>х</v>
      </c>
      <c r="AU97" s="5" t="str">
        <f t="shared" si="140"/>
        <v>х</v>
      </c>
      <c r="AV97" s="5" t="str">
        <f>"1999"</f>
        <v>1999</v>
      </c>
      <c r="AW97" s="5" t="str">
        <f>"62,00"</f>
        <v>62,00</v>
      </c>
      <c r="AX97" s="5" t="str">
        <f>"2019"</f>
        <v>2019</v>
      </c>
      <c r="AY97" s="5" t="str">
        <f t="shared" si="133"/>
        <v>нет</v>
      </c>
      <c r="AZ97" s="5" t="str">
        <f t="shared" si="141"/>
        <v>х</v>
      </c>
      <c r="BA97" s="5" t="str">
        <f t="shared" si="141"/>
        <v>х</v>
      </c>
      <c r="BB97" s="5" t="str">
        <f t="shared" si="141"/>
        <v>х</v>
      </c>
      <c r="BC97" s="5" t="str">
        <f t="shared" si="134"/>
        <v>нет</v>
      </c>
      <c r="BD97" s="5" t="str">
        <f t="shared" si="142"/>
        <v>х</v>
      </c>
      <c r="BE97" s="5" t="str">
        <f t="shared" si="142"/>
        <v>х</v>
      </c>
      <c r="BF97" s="5" t="str">
        <f t="shared" si="142"/>
        <v>х</v>
      </c>
      <c r="BG97" s="5" t="str">
        <f>"1999"</f>
        <v>1999</v>
      </c>
      <c r="BH97" s="5" t="str">
        <f>"62,00"</f>
        <v>62,00</v>
      </c>
      <c r="BI97" s="5" t="str">
        <f>"2019"</f>
        <v>2019</v>
      </c>
      <c r="BJ97" s="5" t="str">
        <f t="shared" si="135"/>
        <v>нет</v>
      </c>
      <c r="BK97" s="5" t="str">
        <f t="shared" si="143"/>
        <v>х</v>
      </c>
      <c r="BL97" s="5" t="str">
        <f t="shared" si="143"/>
        <v>х</v>
      </c>
      <c r="BM97" s="5" t="str">
        <f t="shared" si="143"/>
        <v>х</v>
      </c>
      <c r="BN97" s="5" t="str">
        <f t="shared" si="136"/>
        <v>нет</v>
      </c>
      <c r="BO97" s="5" t="str">
        <f t="shared" si="144"/>
        <v>х</v>
      </c>
      <c r="BP97" s="5" t="str">
        <f t="shared" si="144"/>
        <v>х</v>
      </c>
      <c r="BQ97" s="5" t="str">
        <f t="shared" si="144"/>
        <v>х</v>
      </c>
      <c r="BR97" s="5" t="str">
        <f>"1999"</f>
        <v>1999</v>
      </c>
      <c r="BS97" s="5" t="str">
        <f>"67,00"</f>
        <v>67,00</v>
      </c>
      <c r="BT97" s="5" t="str">
        <f>"2019"</f>
        <v>2019</v>
      </c>
      <c r="BU97" s="5" t="str">
        <f t="shared" si="107"/>
        <v>нет</v>
      </c>
      <c r="BV97" s="5" t="str">
        <f t="shared" si="145"/>
        <v>x</v>
      </c>
      <c r="BW97" s="5" t="str">
        <f t="shared" si="145"/>
        <v>x</v>
      </c>
      <c r="BX97" s="5" t="str">
        <f t="shared" si="145"/>
        <v>x</v>
      </c>
      <c r="BY97" s="5" t="str">
        <f t="shared" si="101"/>
        <v>нет</v>
      </c>
      <c r="BZ97" s="5" t="str">
        <f>"1999"</f>
        <v>1999</v>
      </c>
      <c r="CA97" s="5" t="str">
        <f>"52,00"</f>
        <v>52,00</v>
      </c>
      <c r="CB97" s="5" t="str">
        <f>"2020"</f>
        <v>2020</v>
      </c>
      <c r="CC97" s="5" t="str">
        <f>"1999"</f>
        <v>1999</v>
      </c>
      <c r="CD97" s="5" t="str">
        <f>"52,00"</f>
        <v>52,00</v>
      </c>
      <c r="CE97" s="5" t="str">
        <f>"2020"</f>
        <v>2020</v>
      </c>
      <c r="CF97" s="5" t="str">
        <f>"1999"</f>
        <v>1999</v>
      </c>
      <c r="CG97" s="5" t="str">
        <f>"67,00"</f>
        <v>67,00</v>
      </c>
      <c r="CH97" s="5" t="str">
        <f>"2019"</f>
        <v>2019</v>
      </c>
      <c r="CI97" s="5" t="str">
        <f>"52,00"</f>
        <v>52,00</v>
      </c>
      <c r="CJ97" s="5" t="str">
        <f>"2041"</f>
        <v>2041</v>
      </c>
    </row>
    <row r="98" spans="1:88" ht="11.25" customHeight="1">
      <c r="A98" s="3" t="str">
        <f>"1.85"</f>
        <v>1.85</v>
      </c>
      <c r="B98" s="4" t="str">
        <f>"г. Грязовец, ул. Дружбы, д.2А"</f>
        <v>г. Грязовец, ул. Дружбы, д.2А</v>
      </c>
      <c r="C98" s="7" t="str">
        <f>"1984"</f>
        <v>1984</v>
      </c>
      <c r="D98" s="5" t="str">
        <f>"1984"</f>
        <v>1984</v>
      </c>
      <c r="E98" s="5" t="str">
        <f>"10,00"</f>
        <v>10,00</v>
      </c>
      <c r="F98" s="5" t="str">
        <f>"2030"</f>
        <v>2030</v>
      </c>
      <c r="G98" s="5" t="str">
        <f>"нет"</f>
        <v>нет</v>
      </c>
      <c r="H98" s="5" t="str">
        <f>""</f>
        <v/>
      </c>
      <c r="I98" s="5" t="str">
        <f>""</f>
        <v/>
      </c>
      <c r="J98" s="5" t="str">
        <f>""</f>
        <v/>
      </c>
      <c r="K98" s="5" t="str">
        <f>"нет"</f>
        <v>нет</v>
      </c>
      <c r="L98" s="5" t="str">
        <f>""</f>
        <v/>
      </c>
      <c r="M98" s="5" t="str">
        <f>""</f>
        <v/>
      </c>
      <c r="N98" s="5" t="str">
        <f>""</f>
        <v/>
      </c>
      <c r="O98" s="8" t="str">
        <f>"1984"</f>
        <v>1984</v>
      </c>
      <c r="P98" s="5" t="str">
        <f>"50,00"</f>
        <v>50,00</v>
      </c>
      <c r="Q98" s="5" t="str">
        <f>"2018"</f>
        <v>2018</v>
      </c>
      <c r="R98" s="5" t="str">
        <f t="shared" si="127"/>
        <v>нет</v>
      </c>
      <c r="S98" s="5" t="str">
        <f>""</f>
        <v/>
      </c>
      <c r="T98" s="5" t="str">
        <f>""</f>
        <v/>
      </c>
      <c r="U98" s="5" t="str">
        <f>""</f>
        <v/>
      </c>
      <c r="V98" s="5" t="str">
        <f t="shared" si="128"/>
        <v>нет</v>
      </c>
      <c r="W98" s="5" t="str">
        <f>""</f>
        <v/>
      </c>
      <c r="X98" s="5" t="str">
        <f>""</f>
        <v/>
      </c>
      <c r="Y98" s="9" t="str">
        <f>""</f>
        <v/>
      </c>
      <c r="Z98" s="5" t="str">
        <f>"1984"</f>
        <v>1984</v>
      </c>
      <c r="AA98" s="5" t="str">
        <f>"10,00"</f>
        <v>10,00</v>
      </c>
      <c r="AB98" s="5" t="str">
        <f>"2031"</f>
        <v>2031</v>
      </c>
      <c r="AC98" s="5" t="str">
        <f t="shared" si="129"/>
        <v>нет</v>
      </c>
      <c r="AD98" s="5" t="str">
        <f>""</f>
        <v/>
      </c>
      <c r="AE98" s="5" t="str">
        <f>""</f>
        <v/>
      </c>
      <c r="AF98" s="5" t="str">
        <f>""</f>
        <v/>
      </c>
      <c r="AG98" s="5" t="str">
        <f t="shared" si="130"/>
        <v>нет</v>
      </c>
      <c r="AH98" s="5" t="str">
        <f>""</f>
        <v/>
      </c>
      <c r="AI98" s="5" t="str">
        <f>""</f>
        <v/>
      </c>
      <c r="AJ98" s="5" t="str">
        <f>""</f>
        <v/>
      </c>
      <c r="AK98" s="8" t="str">
        <f>"1984"</f>
        <v>1984</v>
      </c>
      <c r="AL98" s="5" t="str">
        <f>"15,00"</f>
        <v>15,00</v>
      </c>
      <c r="AM98" s="5" t="str">
        <f>"2028"</f>
        <v>2028</v>
      </c>
      <c r="AN98" s="5" t="str">
        <f t="shared" si="131"/>
        <v>нет</v>
      </c>
      <c r="AO98" s="5" t="str">
        <f>""</f>
        <v/>
      </c>
      <c r="AP98" s="5" t="str">
        <f>""</f>
        <v/>
      </c>
      <c r="AQ98" s="5" t="str">
        <f>""</f>
        <v/>
      </c>
      <c r="AR98" s="5" t="str">
        <f t="shared" si="132"/>
        <v>нет</v>
      </c>
      <c r="AS98" s="5" t="str">
        <f>""</f>
        <v/>
      </c>
      <c r="AT98" s="5" t="str">
        <f>""</f>
        <v/>
      </c>
      <c r="AU98" s="5" t="str">
        <f>""</f>
        <v/>
      </c>
      <c r="AV98" s="5" t="str">
        <f>"1984"</f>
        <v>1984</v>
      </c>
      <c r="AW98" s="5" t="str">
        <f>"12,00"</f>
        <v>12,00</v>
      </c>
      <c r="AX98" s="5" t="str">
        <f>"2029"</f>
        <v>2029</v>
      </c>
      <c r="AY98" s="5" t="str">
        <f t="shared" si="133"/>
        <v>нет</v>
      </c>
      <c r="AZ98" s="5" t="str">
        <f>""</f>
        <v/>
      </c>
      <c r="BA98" s="5" t="str">
        <f>""</f>
        <v/>
      </c>
      <c r="BB98" s="5" t="str">
        <f>""</f>
        <v/>
      </c>
      <c r="BC98" s="5" t="str">
        <f t="shared" si="134"/>
        <v>нет</v>
      </c>
      <c r="BD98" s="5" t="str">
        <f>""</f>
        <v/>
      </c>
      <c r="BE98" s="5" t="str">
        <f>""</f>
        <v/>
      </c>
      <c r="BF98" s="5" t="str">
        <f>""</f>
        <v/>
      </c>
      <c r="BG98" s="5" t="str">
        <f>"1984"</f>
        <v>1984</v>
      </c>
      <c r="BH98" s="5" t="str">
        <f>"15,00"</f>
        <v>15,00</v>
      </c>
      <c r="BI98" s="5" t="str">
        <f>"2027"</f>
        <v>2027</v>
      </c>
      <c r="BJ98" s="5" t="str">
        <f t="shared" si="135"/>
        <v>нет</v>
      </c>
      <c r="BK98" s="5" t="str">
        <f>""</f>
        <v/>
      </c>
      <c r="BL98" s="5" t="str">
        <f>""</f>
        <v/>
      </c>
      <c r="BM98" s="5" t="str">
        <f>""</f>
        <v/>
      </c>
      <c r="BN98" s="5" t="str">
        <f t="shared" si="136"/>
        <v>нет</v>
      </c>
      <c r="BO98" s="5" t="str">
        <f>""</f>
        <v/>
      </c>
      <c r="BP98" s="5" t="str">
        <f>""</f>
        <v/>
      </c>
      <c r="BQ98" s="5" t="str">
        <f>""</f>
        <v/>
      </c>
      <c r="BR98" s="5" t="str">
        <f>"1984"</f>
        <v>1984</v>
      </c>
      <c r="BS98" s="5" t="str">
        <f>"20,00"</f>
        <v>20,00</v>
      </c>
      <c r="BT98" s="5" t="str">
        <f>"2021"</f>
        <v>2021</v>
      </c>
      <c r="BU98" s="5" t="str">
        <f t="shared" si="107"/>
        <v>нет</v>
      </c>
      <c r="BV98" s="5" t="str">
        <f t="shared" si="145"/>
        <v>x</v>
      </c>
      <c r="BW98" s="5" t="str">
        <f t="shared" si="145"/>
        <v>x</v>
      </c>
      <c r="BX98" s="5" t="str">
        <f t="shared" si="145"/>
        <v>x</v>
      </c>
      <c r="BY98" s="5" t="str">
        <f t="shared" si="101"/>
        <v>нет</v>
      </c>
      <c r="BZ98" s="5" t="str">
        <f>"1984"</f>
        <v>1984</v>
      </c>
      <c r="CA98" s="5" t="str">
        <f>"10,00"</f>
        <v>10,00</v>
      </c>
      <c r="CB98" s="5" t="str">
        <f>"2029"</f>
        <v>2029</v>
      </c>
      <c r="CC98" s="5" t="str">
        <f>"1984"</f>
        <v>1984</v>
      </c>
      <c r="CD98" s="5" t="str">
        <f>"5,00"</f>
        <v>5,00</v>
      </c>
      <c r="CE98" s="5" t="str">
        <f>"2035"</f>
        <v>2035</v>
      </c>
      <c r="CF98" s="5" t="str">
        <f>"1984"</f>
        <v>1984</v>
      </c>
      <c r="CG98" s="5" t="str">
        <f>"5,00"</f>
        <v>5,00</v>
      </c>
      <c r="CH98" s="5" t="str">
        <f>"2035"</f>
        <v>2035</v>
      </c>
      <c r="CI98" s="5" t="str">
        <f>"10,00"</f>
        <v>10,00</v>
      </c>
      <c r="CJ98" s="5" t="str">
        <f>"2043"</f>
        <v>2043</v>
      </c>
    </row>
    <row r="99" spans="1:88" ht="11.25" customHeight="1">
      <c r="A99" s="3" t="str">
        <f>"1.86"</f>
        <v>1.86</v>
      </c>
      <c r="B99" s="4" t="str">
        <f>"г. Грязовец, ул. Дружбы, д.4"</f>
        <v>г. Грязовец, ул. Дружбы, д.4</v>
      </c>
      <c r="C99" s="7" t="str">
        <f>"1979"</f>
        <v>1979</v>
      </c>
      <c r="D99" s="5" t="str">
        <f>"1979"</f>
        <v>1979</v>
      </c>
      <c r="E99" s="5" t="str">
        <f>"18,00"</f>
        <v>18,00</v>
      </c>
      <c r="F99" s="5" t="str">
        <f>"2025"</f>
        <v>2025</v>
      </c>
      <c r="G99" s="5" t="str">
        <f>"да"</f>
        <v>да</v>
      </c>
      <c r="H99" s="5" t="str">
        <f>""</f>
        <v/>
      </c>
      <c r="I99" s="5" t="str">
        <f>"15,00"</f>
        <v>15,00</v>
      </c>
      <c r="J99" s="5" t="str">
        <f>"2025"</f>
        <v>2025</v>
      </c>
      <c r="K99" s="5" t="str">
        <f>"да"</f>
        <v>да</v>
      </c>
      <c r="L99" s="5" t="str">
        <f>""</f>
        <v/>
      </c>
      <c r="M99" s="5" t="str">
        <f>"15,00"</f>
        <v>15,00</v>
      </c>
      <c r="N99" s="5" t="str">
        <f>"2025"</f>
        <v>2025</v>
      </c>
      <c r="O99" s="8" t="str">
        <f>"1979"</f>
        <v>1979</v>
      </c>
      <c r="P99" s="5" t="str">
        <f>"51,00"</f>
        <v>51,00</v>
      </c>
      <c r="Q99" s="5" t="str">
        <f>"2018"</f>
        <v>2018</v>
      </c>
      <c r="R99" s="5" t="str">
        <f t="shared" si="127"/>
        <v>нет</v>
      </c>
      <c r="S99" s="5" t="str">
        <f>""</f>
        <v/>
      </c>
      <c r="T99" s="5" t="str">
        <f>""</f>
        <v/>
      </c>
      <c r="U99" s="5" t="str">
        <f>""</f>
        <v/>
      </c>
      <c r="V99" s="5" t="str">
        <f t="shared" si="128"/>
        <v>нет</v>
      </c>
      <c r="W99" s="5" t="str">
        <f>""</f>
        <v/>
      </c>
      <c r="X99" s="5" t="str">
        <f>""</f>
        <v/>
      </c>
      <c r="Y99" s="9" t="str">
        <f>""</f>
        <v/>
      </c>
      <c r="Z99" s="5" t="str">
        <f>"1979"</f>
        <v>1979</v>
      </c>
      <c r="AA99" s="5" t="str">
        <f>"8,00"</f>
        <v>8,00</v>
      </c>
      <c r="AB99" s="5" t="str">
        <f>"2025"</f>
        <v>2025</v>
      </c>
      <c r="AC99" s="5" t="str">
        <f t="shared" si="129"/>
        <v>нет</v>
      </c>
      <c r="AD99" s="5" t="str">
        <f>""</f>
        <v/>
      </c>
      <c r="AE99" s="5" t="str">
        <f>""</f>
        <v/>
      </c>
      <c r="AF99" s="5" t="str">
        <f>""</f>
        <v/>
      </c>
      <c r="AG99" s="5" t="str">
        <f t="shared" si="130"/>
        <v>нет</v>
      </c>
      <c r="AH99" s="5" t="str">
        <f>""</f>
        <v/>
      </c>
      <c r="AI99" s="5" t="str">
        <f>""</f>
        <v/>
      </c>
      <c r="AJ99" s="5" t="str">
        <f>""</f>
        <v/>
      </c>
      <c r="AK99" s="8" t="str">
        <f>"1979"</f>
        <v>1979</v>
      </c>
      <c r="AL99" s="5" t="str">
        <f>"23,00"</f>
        <v>23,00</v>
      </c>
      <c r="AM99" s="5" t="str">
        <f>"2033"</f>
        <v>2033</v>
      </c>
      <c r="AN99" s="5" t="str">
        <f t="shared" si="131"/>
        <v>нет</v>
      </c>
      <c r="AO99" s="5" t="str">
        <f>""</f>
        <v/>
      </c>
      <c r="AP99" s="5" t="str">
        <f>""</f>
        <v/>
      </c>
      <c r="AQ99" s="5" t="str">
        <f>""</f>
        <v/>
      </c>
      <c r="AR99" s="5" t="str">
        <f t="shared" si="132"/>
        <v>нет</v>
      </c>
      <c r="AS99" s="5" t="str">
        <f>""</f>
        <v/>
      </c>
      <c r="AT99" s="5" t="str">
        <f>""</f>
        <v/>
      </c>
      <c r="AU99" s="5" t="str">
        <f>""</f>
        <v/>
      </c>
      <c r="AV99" s="5" t="str">
        <f>"1979"</f>
        <v>1979</v>
      </c>
      <c r="AW99" s="5" t="str">
        <f>"23,00"</f>
        <v>23,00</v>
      </c>
      <c r="AX99" s="5" t="str">
        <f>"2025"</f>
        <v>2025</v>
      </c>
      <c r="AY99" s="5" t="str">
        <f t="shared" si="133"/>
        <v>нет</v>
      </c>
      <c r="AZ99" s="5" t="str">
        <f>""</f>
        <v/>
      </c>
      <c r="BA99" s="5" t="str">
        <f>""</f>
        <v/>
      </c>
      <c r="BB99" s="5" t="str">
        <f>""</f>
        <v/>
      </c>
      <c r="BC99" s="5" t="str">
        <f t="shared" si="134"/>
        <v>нет</v>
      </c>
      <c r="BD99" s="5" t="str">
        <f>""</f>
        <v/>
      </c>
      <c r="BE99" s="5" t="str">
        <f>""</f>
        <v/>
      </c>
      <c r="BF99" s="5" t="str">
        <f>""</f>
        <v/>
      </c>
      <c r="BG99" s="5" t="str">
        <f>"1979"</f>
        <v>1979</v>
      </c>
      <c r="BH99" s="5" t="str">
        <f>"23,00"</f>
        <v>23,00</v>
      </c>
      <c r="BI99" s="5" t="str">
        <f>"2025"</f>
        <v>2025</v>
      </c>
      <c r="BJ99" s="5" t="str">
        <f t="shared" si="135"/>
        <v>нет</v>
      </c>
      <c r="BK99" s="5" t="str">
        <f>""</f>
        <v/>
      </c>
      <c r="BL99" s="5" t="str">
        <f>""</f>
        <v/>
      </c>
      <c r="BM99" s="5" t="str">
        <f>""</f>
        <v/>
      </c>
      <c r="BN99" s="5" t="str">
        <f t="shared" si="136"/>
        <v>нет</v>
      </c>
      <c r="BO99" s="5" t="str">
        <f>""</f>
        <v/>
      </c>
      <c r="BP99" s="5" t="str">
        <f>""</f>
        <v/>
      </c>
      <c r="BQ99" s="5" t="str">
        <f>""</f>
        <v/>
      </c>
      <c r="BR99" s="5" t="str">
        <f>"1979"</f>
        <v>1979</v>
      </c>
      <c r="BS99" s="5" t="str">
        <f>"28,00"</f>
        <v>28,00</v>
      </c>
      <c r="BT99" s="5" t="str">
        <f>"2025"</f>
        <v>2025</v>
      </c>
      <c r="BU99" s="5" t="str">
        <f t="shared" si="107"/>
        <v>нет</v>
      </c>
      <c r="BV99" s="5" t="str">
        <f t="shared" si="145"/>
        <v>x</v>
      </c>
      <c r="BW99" s="5" t="str">
        <f t="shared" si="145"/>
        <v>x</v>
      </c>
      <c r="BX99" s="5" t="str">
        <f t="shared" si="145"/>
        <v>x</v>
      </c>
      <c r="BY99" s="5" t="str">
        <f t="shared" si="101"/>
        <v>нет</v>
      </c>
      <c r="BZ99" s="5" t="str">
        <f>"1979"</f>
        <v>1979</v>
      </c>
      <c r="CA99" s="5" t="str">
        <f>"13,00"</f>
        <v>13,00</v>
      </c>
      <c r="CB99" s="5" t="str">
        <f>"2025"</f>
        <v>2025</v>
      </c>
      <c r="CC99" s="5" t="str">
        <f>"1979"</f>
        <v>1979</v>
      </c>
      <c r="CD99" s="5" t="str">
        <f>"13,00"</f>
        <v>13,00</v>
      </c>
      <c r="CE99" s="5" t="str">
        <f>"2025"</f>
        <v>2025</v>
      </c>
      <c r="CF99" s="5" t="str">
        <f>"1979"</f>
        <v>1979</v>
      </c>
      <c r="CG99" s="5" t="str">
        <f>"28,00"</f>
        <v>28,00</v>
      </c>
      <c r="CH99" s="5" t="str">
        <f>"2025"</f>
        <v>2025</v>
      </c>
      <c r="CI99" s="5" t="str">
        <f>"13,00"</f>
        <v>13,00</v>
      </c>
      <c r="CJ99" s="5" t="str">
        <f>"2044"</f>
        <v>2044</v>
      </c>
    </row>
    <row r="100" spans="1:88" ht="11.25" customHeight="1">
      <c r="A100" s="3" t="str">
        <f>"1.87"</f>
        <v>1.87</v>
      </c>
      <c r="B100" s="4" t="str">
        <f>"г. Грязовец, ул. Дружбы, д.7"</f>
        <v>г. Грязовец, ул. Дружбы, д.7</v>
      </c>
      <c r="C100" s="7" t="str">
        <f>"1992"</f>
        <v>1992</v>
      </c>
      <c r="D100" s="5" t="str">
        <f>"1992"</f>
        <v>1992</v>
      </c>
      <c r="E100" s="5" t="str">
        <f>"17,00"</f>
        <v>17,00</v>
      </c>
      <c r="F100" s="5" t="str">
        <f>"2025"</f>
        <v>2025</v>
      </c>
      <c r="G100" s="5" t="str">
        <f>"да"</f>
        <v>да</v>
      </c>
      <c r="H100" s="5" t="str">
        <f>""</f>
        <v/>
      </c>
      <c r="I100" s="5" t="str">
        <f>"15,00"</f>
        <v>15,00</v>
      </c>
      <c r="J100" s="5" t="str">
        <f>"2025"</f>
        <v>2025</v>
      </c>
      <c r="K100" s="5" t="str">
        <f>"да"</f>
        <v>да</v>
      </c>
      <c r="L100" s="5" t="str">
        <f>""</f>
        <v/>
      </c>
      <c r="M100" s="5" t="str">
        <f>"15,00"</f>
        <v>15,00</v>
      </c>
      <c r="N100" s="5" t="str">
        <f>"2025"</f>
        <v>2025</v>
      </c>
      <c r="O100" s="8" t="str">
        <f>"1992"</f>
        <v>1992</v>
      </c>
      <c r="P100" s="5" t="str">
        <f>"22,00"</f>
        <v>22,00</v>
      </c>
      <c r="Q100" s="5" t="str">
        <f>"2025"</f>
        <v>2025</v>
      </c>
      <c r="R100" s="5" t="str">
        <f t="shared" si="127"/>
        <v>нет</v>
      </c>
      <c r="S100" s="5" t="str">
        <f>""</f>
        <v/>
      </c>
      <c r="T100" s="5" t="str">
        <f>""</f>
        <v/>
      </c>
      <c r="U100" s="5" t="str">
        <f>""</f>
        <v/>
      </c>
      <c r="V100" s="5" t="str">
        <f t="shared" si="128"/>
        <v>нет</v>
      </c>
      <c r="W100" s="5" t="str">
        <f>""</f>
        <v/>
      </c>
      <c r="X100" s="5" t="str">
        <f>""</f>
        <v/>
      </c>
      <c r="Y100" s="9" t="str">
        <f>""</f>
        <v/>
      </c>
      <c r="Z100" s="5" t="str">
        <f>"1992"</f>
        <v>1992</v>
      </c>
      <c r="AA100" s="5" t="str">
        <f>"7,00"</f>
        <v>7,00</v>
      </c>
      <c r="AB100" s="5" t="str">
        <f>"2025"</f>
        <v>2025</v>
      </c>
      <c r="AC100" s="5" t="str">
        <f t="shared" si="129"/>
        <v>нет</v>
      </c>
      <c r="AD100" s="5" t="str">
        <f>""</f>
        <v/>
      </c>
      <c r="AE100" s="5" t="str">
        <f>""</f>
        <v/>
      </c>
      <c r="AF100" s="5" t="str">
        <f>""</f>
        <v/>
      </c>
      <c r="AG100" s="5" t="str">
        <f t="shared" si="130"/>
        <v>нет</v>
      </c>
      <c r="AH100" s="5" t="str">
        <f>""</f>
        <v/>
      </c>
      <c r="AI100" s="5" t="str">
        <f>""</f>
        <v/>
      </c>
      <c r="AJ100" s="5" t="str">
        <f>""</f>
        <v/>
      </c>
      <c r="AK100" s="8" t="str">
        <f>"1992"</f>
        <v>1992</v>
      </c>
      <c r="AL100" s="5" t="str">
        <f>"22,00"</f>
        <v>22,00</v>
      </c>
      <c r="AM100" s="5" t="str">
        <f>"2033"</f>
        <v>2033</v>
      </c>
      <c r="AN100" s="5" t="str">
        <f t="shared" si="131"/>
        <v>нет</v>
      </c>
      <c r="AO100" s="5" t="str">
        <f>""</f>
        <v/>
      </c>
      <c r="AP100" s="5" t="str">
        <f>""</f>
        <v/>
      </c>
      <c r="AQ100" s="5" t="str">
        <f>""</f>
        <v/>
      </c>
      <c r="AR100" s="5" t="str">
        <f t="shared" si="132"/>
        <v>нет</v>
      </c>
      <c r="AS100" s="5" t="str">
        <f>""</f>
        <v/>
      </c>
      <c r="AT100" s="5" t="str">
        <f>""</f>
        <v/>
      </c>
      <c r="AU100" s="5" t="str">
        <f>""</f>
        <v/>
      </c>
      <c r="AV100" s="5" t="str">
        <f>"1992"</f>
        <v>1992</v>
      </c>
      <c r="AW100" s="5" t="str">
        <f>"22,00"</f>
        <v>22,00</v>
      </c>
      <c r="AX100" s="5" t="str">
        <f>"2025"</f>
        <v>2025</v>
      </c>
      <c r="AY100" s="5" t="str">
        <f t="shared" si="133"/>
        <v>нет</v>
      </c>
      <c r="AZ100" s="5" t="str">
        <f>""</f>
        <v/>
      </c>
      <c r="BA100" s="5" t="str">
        <f>""</f>
        <v/>
      </c>
      <c r="BB100" s="5" t="str">
        <f>""</f>
        <v/>
      </c>
      <c r="BC100" s="5" t="str">
        <f t="shared" si="134"/>
        <v>нет</v>
      </c>
      <c r="BD100" s="5" t="str">
        <f>""</f>
        <v/>
      </c>
      <c r="BE100" s="5" t="str">
        <f>""</f>
        <v/>
      </c>
      <c r="BF100" s="5" t="str">
        <f>""</f>
        <v/>
      </c>
      <c r="BG100" s="5" t="str">
        <f>"1992"</f>
        <v>1992</v>
      </c>
      <c r="BH100" s="5" t="str">
        <f>"22,00"</f>
        <v>22,00</v>
      </c>
      <c r="BI100" s="5" t="str">
        <f>"2025"</f>
        <v>2025</v>
      </c>
      <c r="BJ100" s="5" t="str">
        <f t="shared" si="135"/>
        <v>нет</v>
      </c>
      <c r="BK100" s="5" t="str">
        <f>""</f>
        <v/>
      </c>
      <c r="BL100" s="5" t="str">
        <f>""</f>
        <v/>
      </c>
      <c r="BM100" s="5" t="str">
        <f>""</f>
        <v/>
      </c>
      <c r="BN100" s="5" t="str">
        <f t="shared" si="136"/>
        <v>нет</v>
      </c>
      <c r="BO100" s="5" t="str">
        <f>""</f>
        <v/>
      </c>
      <c r="BP100" s="5" t="str">
        <f>""</f>
        <v/>
      </c>
      <c r="BQ100" s="5" t="str">
        <f>""</f>
        <v/>
      </c>
      <c r="BR100" s="5" t="str">
        <f>"1992"</f>
        <v>1992</v>
      </c>
      <c r="BS100" s="5" t="str">
        <f>"27,00"</f>
        <v>27,00</v>
      </c>
      <c r="BT100" s="5" t="str">
        <f>"2025"</f>
        <v>2025</v>
      </c>
      <c r="BU100" s="5" t="str">
        <f t="shared" si="107"/>
        <v>нет</v>
      </c>
      <c r="BV100" s="5" t="str">
        <f t="shared" si="145"/>
        <v>x</v>
      </c>
      <c r="BW100" s="5" t="str">
        <f t="shared" si="145"/>
        <v>x</v>
      </c>
      <c r="BX100" s="5" t="str">
        <f t="shared" si="145"/>
        <v>x</v>
      </c>
      <c r="BY100" s="5" t="str">
        <f t="shared" si="101"/>
        <v>нет</v>
      </c>
      <c r="BZ100" s="5" t="str">
        <f>"1992"</f>
        <v>1992</v>
      </c>
      <c r="CA100" s="5" t="str">
        <f>"12,00"</f>
        <v>12,00</v>
      </c>
      <c r="CB100" s="5" t="str">
        <f>"2025"</f>
        <v>2025</v>
      </c>
      <c r="CC100" s="5" t="str">
        <f>"1992"</f>
        <v>1992</v>
      </c>
      <c r="CD100" s="5" t="str">
        <f>"12,00"</f>
        <v>12,00</v>
      </c>
      <c r="CE100" s="5" t="str">
        <f>"2025"</f>
        <v>2025</v>
      </c>
      <c r="CF100" s="5" t="str">
        <f>"1992"</f>
        <v>1992</v>
      </c>
      <c r="CG100" s="5" t="str">
        <f>"12,00"</f>
        <v>12,00</v>
      </c>
      <c r="CH100" s="5" t="str">
        <f>"2025"</f>
        <v>2025</v>
      </c>
      <c r="CI100" s="5" t="str">
        <f>"12,00"</f>
        <v>12,00</v>
      </c>
      <c r="CJ100" s="5" t="str">
        <f>"2042"</f>
        <v>2042</v>
      </c>
    </row>
    <row r="101" spans="1:88" ht="11.25" customHeight="1">
      <c r="A101" s="3" t="str">
        <f>"1.88"</f>
        <v>1.88</v>
      </c>
      <c r="B101" s="4" t="str">
        <f>"г. Грязовец, ул. Заводская, д.13"</f>
        <v>г. Грязовец, ул. Заводская, д.13</v>
      </c>
      <c r="C101" s="7" t="str">
        <f>"1962"</f>
        <v>1962</v>
      </c>
      <c r="D101" s="5" t="str">
        <f>""</f>
        <v/>
      </c>
      <c r="E101" s="5" t="str">
        <f>"35,00"</f>
        <v>35,00</v>
      </c>
      <c r="F101" s="5" t="str">
        <f>"2028"</f>
        <v>2028</v>
      </c>
      <c r="G101" s="5" t="str">
        <f>"нет"</f>
        <v>нет</v>
      </c>
      <c r="H101" s="5" t="str">
        <f>""</f>
        <v/>
      </c>
      <c r="I101" s="5" t="str">
        <f>""</f>
        <v/>
      </c>
      <c r="J101" s="5" t="str">
        <f>""</f>
        <v/>
      </c>
      <c r="K101" s="5" t="str">
        <f>"нет"</f>
        <v>нет</v>
      </c>
      <c r="L101" s="5" t="str">
        <f>""</f>
        <v/>
      </c>
      <c r="M101" s="5" t="str">
        <f>""</f>
        <v/>
      </c>
      <c r="N101" s="5" t="str">
        <f>""</f>
        <v/>
      </c>
      <c r="O101" s="8" t="str">
        <f>""</f>
        <v/>
      </c>
      <c r="P101" s="5" t="str">
        <f>"40,00"</f>
        <v>40,00</v>
      </c>
      <c r="Q101" s="5" t="str">
        <f>"2025"</f>
        <v>2025</v>
      </c>
      <c r="R101" s="5" t="str">
        <f t="shared" si="127"/>
        <v>нет</v>
      </c>
      <c r="S101" s="5" t="str">
        <f>""</f>
        <v/>
      </c>
      <c r="T101" s="5" t="str">
        <f>""</f>
        <v/>
      </c>
      <c r="U101" s="5" t="str">
        <f>""</f>
        <v/>
      </c>
      <c r="V101" s="5" t="str">
        <f t="shared" si="128"/>
        <v>нет</v>
      </c>
      <c r="W101" s="5" t="str">
        <f>""</f>
        <v/>
      </c>
      <c r="X101" s="5" t="str">
        <f>""</f>
        <v/>
      </c>
      <c r="Y101" s="9" t="str">
        <f>""</f>
        <v/>
      </c>
      <c r="Z101" s="5" t="str">
        <f>""</f>
        <v/>
      </c>
      <c r="AA101" s="5" t="str">
        <f>"30,00"</f>
        <v>30,00</v>
      </c>
      <c r="AB101" s="5" t="str">
        <f>"2030"</f>
        <v>2030</v>
      </c>
      <c r="AC101" s="5" t="str">
        <f t="shared" si="129"/>
        <v>нет</v>
      </c>
      <c r="AD101" s="5" t="str">
        <f>""</f>
        <v/>
      </c>
      <c r="AE101" s="5" t="str">
        <f>""</f>
        <v/>
      </c>
      <c r="AF101" s="5" t="str">
        <f>""</f>
        <v/>
      </c>
      <c r="AG101" s="5" t="str">
        <f t="shared" si="130"/>
        <v>нет</v>
      </c>
      <c r="AH101" s="5" t="str">
        <f>""</f>
        <v/>
      </c>
      <c r="AI101" s="5" t="str">
        <f>""</f>
        <v/>
      </c>
      <c r="AJ101" s="5" t="str">
        <f>""</f>
        <v/>
      </c>
      <c r="AK101" s="8" t="str">
        <f t="shared" ref="AK101:AT102" si="146">"х"</f>
        <v>х</v>
      </c>
      <c r="AL101" s="5" t="str">
        <f t="shared" si="146"/>
        <v>х</v>
      </c>
      <c r="AM101" s="5" t="str">
        <f t="shared" si="146"/>
        <v>х</v>
      </c>
      <c r="AN101" s="5" t="str">
        <f t="shared" si="146"/>
        <v>х</v>
      </c>
      <c r="AO101" s="5" t="str">
        <f t="shared" si="146"/>
        <v>х</v>
      </c>
      <c r="AP101" s="5" t="str">
        <f t="shared" si="146"/>
        <v>х</v>
      </c>
      <c r="AQ101" s="5" t="str">
        <f t="shared" si="146"/>
        <v>х</v>
      </c>
      <c r="AR101" s="5" t="str">
        <f t="shared" si="146"/>
        <v>х</v>
      </c>
      <c r="AS101" s="5" t="str">
        <f t="shared" si="146"/>
        <v>х</v>
      </c>
      <c r="AT101" s="5" t="str">
        <f t="shared" si="146"/>
        <v>х</v>
      </c>
      <c r="AU101" s="5" t="str">
        <f t="shared" ref="AU101:BD102" si="147">"х"</f>
        <v>х</v>
      </c>
      <c r="AV101" s="5" t="str">
        <f t="shared" si="147"/>
        <v>х</v>
      </c>
      <c r="AW101" s="5" t="str">
        <f t="shared" si="147"/>
        <v>х</v>
      </c>
      <c r="AX101" s="5" t="str">
        <f t="shared" si="147"/>
        <v>х</v>
      </c>
      <c r="AY101" s="5" t="str">
        <f t="shared" si="147"/>
        <v>х</v>
      </c>
      <c r="AZ101" s="5" t="str">
        <f t="shared" si="147"/>
        <v>х</v>
      </c>
      <c r="BA101" s="5" t="str">
        <f t="shared" si="147"/>
        <v>х</v>
      </c>
      <c r="BB101" s="5" t="str">
        <f t="shared" si="147"/>
        <v>х</v>
      </c>
      <c r="BC101" s="5" t="str">
        <f t="shared" si="147"/>
        <v>х</v>
      </c>
      <c r="BD101" s="5" t="str">
        <f t="shared" si="147"/>
        <v>х</v>
      </c>
      <c r="BE101" s="5" t="str">
        <f t="shared" ref="BE101:BQ102" si="148">"х"</f>
        <v>х</v>
      </c>
      <c r="BF101" s="5" t="str">
        <f t="shared" si="148"/>
        <v>х</v>
      </c>
      <c r="BG101" s="5" t="str">
        <f t="shared" si="148"/>
        <v>х</v>
      </c>
      <c r="BH101" s="5" t="str">
        <f t="shared" si="148"/>
        <v>х</v>
      </c>
      <c r="BI101" s="5" t="str">
        <f t="shared" si="148"/>
        <v>х</v>
      </c>
      <c r="BJ101" s="5" t="str">
        <f t="shared" si="148"/>
        <v>х</v>
      </c>
      <c r="BK101" s="5" t="str">
        <f t="shared" si="148"/>
        <v>х</v>
      </c>
      <c r="BL101" s="5" t="str">
        <f t="shared" si="148"/>
        <v>х</v>
      </c>
      <c r="BM101" s="5" t="str">
        <f t="shared" si="148"/>
        <v>х</v>
      </c>
      <c r="BN101" s="5" t="str">
        <f t="shared" si="148"/>
        <v>х</v>
      </c>
      <c r="BO101" s="5" t="str">
        <f t="shared" si="148"/>
        <v>х</v>
      </c>
      <c r="BP101" s="5" t="str">
        <f t="shared" si="148"/>
        <v>х</v>
      </c>
      <c r="BQ101" s="5" t="str">
        <f t="shared" si="148"/>
        <v>х</v>
      </c>
      <c r="BR101" s="5" t="str">
        <f>""</f>
        <v/>
      </c>
      <c r="BS101" s="5" t="str">
        <f>"45,00"</f>
        <v>45,00</v>
      </c>
      <c r="BT101" s="5" t="str">
        <f>"2021"</f>
        <v>2021</v>
      </c>
      <c r="BU101" s="5" t="str">
        <f t="shared" si="107"/>
        <v>нет</v>
      </c>
      <c r="BV101" s="5" t="str">
        <f t="shared" si="145"/>
        <v>x</v>
      </c>
      <c r="BW101" s="5" t="str">
        <f t="shared" si="145"/>
        <v>x</v>
      </c>
      <c r="BX101" s="5" t="str">
        <f t="shared" si="145"/>
        <v>x</v>
      </c>
      <c r="BY101" s="5" t="str">
        <f t="shared" si="101"/>
        <v>нет</v>
      </c>
      <c r="BZ101" s="5" t="str">
        <f t="shared" ref="BZ101:CB102" si="149">"x"</f>
        <v>x</v>
      </c>
      <c r="CA101" s="5" t="str">
        <f t="shared" si="149"/>
        <v>x</v>
      </c>
      <c r="CB101" s="5" t="str">
        <f t="shared" si="149"/>
        <v>x</v>
      </c>
      <c r="CC101" s="5" t="str">
        <f>""</f>
        <v/>
      </c>
      <c r="CD101" s="5" t="str">
        <f>"30,00"</f>
        <v>30,00</v>
      </c>
      <c r="CE101" s="5" t="str">
        <f>"2026"</f>
        <v>2026</v>
      </c>
      <c r="CF101" s="5" t="str">
        <f>""</f>
        <v/>
      </c>
      <c r="CG101" s="5" t="str">
        <f>"30,00"</f>
        <v>30,00</v>
      </c>
      <c r="CH101" s="5" t="str">
        <f>"2027"</f>
        <v>2027</v>
      </c>
      <c r="CI101" s="5" t="str">
        <f>"43,00"</f>
        <v>43,00</v>
      </c>
      <c r="CJ101" s="5" t="str">
        <f>"2043"</f>
        <v>2043</v>
      </c>
    </row>
    <row r="102" spans="1:88" ht="11.25" customHeight="1">
      <c r="A102" s="3" t="str">
        <f>"1.89"</f>
        <v>1.89</v>
      </c>
      <c r="B102" s="4" t="str">
        <f>"г. Грязовец, ул. Заводская, д.17"</f>
        <v>г. Грязовец, ул. Заводская, д.17</v>
      </c>
      <c r="C102" s="7" t="str">
        <f>"1962"</f>
        <v>1962</v>
      </c>
      <c r="D102" s="5" t="str">
        <f>""</f>
        <v/>
      </c>
      <c r="E102" s="5" t="str">
        <f>"35,00"</f>
        <v>35,00</v>
      </c>
      <c r="F102" s="5" t="str">
        <f>"2025"</f>
        <v>2025</v>
      </c>
      <c r="G102" s="5" t="str">
        <f>"нет"</f>
        <v>нет</v>
      </c>
      <c r="H102" s="5" t="str">
        <f>""</f>
        <v/>
      </c>
      <c r="I102" s="5" t="str">
        <f>""</f>
        <v/>
      </c>
      <c r="J102" s="5" t="str">
        <f>""</f>
        <v/>
      </c>
      <c r="K102" s="5" t="str">
        <f>"нет"</f>
        <v>нет</v>
      </c>
      <c r="L102" s="5" t="str">
        <f>""</f>
        <v/>
      </c>
      <c r="M102" s="5" t="str">
        <f>""</f>
        <v/>
      </c>
      <c r="N102" s="5" t="str">
        <f>""</f>
        <v/>
      </c>
      <c r="O102" s="8" t="str">
        <f>""</f>
        <v/>
      </c>
      <c r="P102" s="5" t="str">
        <f>"40,00"</f>
        <v>40,00</v>
      </c>
      <c r="Q102" s="5" t="str">
        <f>"2024"</f>
        <v>2024</v>
      </c>
      <c r="R102" s="5" t="str">
        <f t="shared" si="127"/>
        <v>нет</v>
      </c>
      <c r="S102" s="5" t="str">
        <f>""</f>
        <v/>
      </c>
      <c r="T102" s="5" t="str">
        <f>""</f>
        <v/>
      </c>
      <c r="U102" s="5" t="str">
        <f>""</f>
        <v/>
      </c>
      <c r="V102" s="5" t="str">
        <f t="shared" si="128"/>
        <v>нет</v>
      </c>
      <c r="W102" s="5" t="str">
        <f>""</f>
        <v/>
      </c>
      <c r="X102" s="5" t="str">
        <f>""</f>
        <v/>
      </c>
      <c r="Y102" s="9" t="str">
        <f>""</f>
        <v/>
      </c>
      <c r="Z102" s="5" t="str">
        <f>""</f>
        <v/>
      </c>
      <c r="AA102" s="5" t="str">
        <f>"20,00"</f>
        <v>20,00</v>
      </c>
      <c r="AB102" s="5" t="str">
        <f>"2028"</f>
        <v>2028</v>
      </c>
      <c r="AC102" s="5" t="str">
        <f t="shared" si="129"/>
        <v>нет</v>
      </c>
      <c r="AD102" s="5" t="str">
        <f>""</f>
        <v/>
      </c>
      <c r="AE102" s="5" t="str">
        <f>""</f>
        <v/>
      </c>
      <c r="AF102" s="5" t="str">
        <f>""</f>
        <v/>
      </c>
      <c r="AG102" s="5" t="str">
        <f t="shared" si="130"/>
        <v>нет</v>
      </c>
      <c r="AH102" s="5" t="str">
        <f>""</f>
        <v/>
      </c>
      <c r="AI102" s="5" t="str">
        <f>""</f>
        <v/>
      </c>
      <c r="AJ102" s="5" t="str">
        <f>""</f>
        <v/>
      </c>
      <c r="AK102" s="8" t="str">
        <f t="shared" si="146"/>
        <v>х</v>
      </c>
      <c r="AL102" s="5" t="str">
        <f t="shared" si="146"/>
        <v>х</v>
      </c>
      <c r="AM102" s="5" t="str">
        <f t="shared" si="146"/>
        <v>х</v>
      </c>
      <c r="AN102" s="5" t="str">
        <f t="shared" si="146"/>
        <v>х</v>
      </c>
      <c r="AO102" s="5" t="str">
        <f t="shared" si="146"/>
        <v>х</v>
      </c>
      <c r="AP102" s="5" t="str">
        <f t="shared" si="146"/>
        <v>х</v>
      </c>
      <c r="AQ102" s="5" t="str">
        <f t="shared" si="146"/>
        <v>х</v>
      </c>
      <c r="AR102" s="5" t="str">
        <f t="shared" si="146"/>
        <v>х</v>
      </c>
      <c r="AS102" s="5" t="str">
        <f t="shared" si="146"/>
        <v>х</v>
      </c>
      <c r="AT102" s="5" t="str">
        <f t="shared" si="146"/>
        <v>х</v>
      </c>
      <c r="AU102" s="5" t="str">
        <f t="shared" si="147"/>
        <v>х</v>
      </c>
      <c r="AV102" s="5" t="str">
        <f t="shared" si="147"/>
        <v>х</v>
      </c>
      <c r="AW102" s="5" t="str">
        <f t="shared" si="147"/>
        <v>х</v>
      </c>
      <c r="AX102" s="5" t="str">
        <f t="shared" si="147"/>
        <v>х</v>
      </c>
      <c r="AY102" s="5" t="str">
        <f t="shared" si="147"/>
        <v>х</v>
      </c>
      <c r="AZ102" s="5" t="str">
        <f t="shared" si="147"/>
        <v>х</v>
      </c>
      <c r="BA102" s="5" t="str">
        <f t="shared" si="147"/>
        <v>х</v>
      </c>
      <c r="BB102" s="5" t="str">
        <f t="shared" si="147"/>
        <v>х</v>
      </c>
      <c r="BC102" s="5" t="str">
        <f t="shared" si="147"/>
        <v>х</v>
      </c>
      <c r="BD102" s="5" t="str">
        <f t="shared" si="147"/>
        <v>х</v>
      </c>
      <c r="BE102" s="5" t="str">
        <f t="shared" si="148"/>
        <v>х</v>
      </c>
      <c r="BF102" s="5" t="str">
        <f t="shared" si="148"/>
        <v>х</v>
      </c>
      <c r="BG102" s="5" t="str">
        <f t="shared" si="148"/>
        <v>х</v>
      </c>
      <c r="BH102" s="5" t="str">
        <f t="shared" si="148"/>
        <v>х</v>
      </c>
      <c r="BI102" s="5" t="str">
        <f t="shared" si="148"/>
        <v>х</v>
      </c>
      <c r="BJ102" s="5" t="str">
        <f t="shared" si="148"/>
        <v>х</v>
      </c>
      <c r="BK102" s="5" t="str">
        <f t="shared" si="148"/>
        <v>х</v>
      </c>
      <c r="BL102" s="5" t="str">
        <f t="shared" si="148"/>
        <v>х</v>
      </c>
      <c r="BM102" s="5" t="str">
        <f t="shared" si="148"/>
        <v>х</v>
      </c>
      <c r="BN102" s="5" t="str">
        <f t="shared" si="148"/>
        <v>х</v>
      </c>
      <c r="BO102" s="5" t="str">
        <f t="shared" si="148"/>
        <v>х</v>
      </c>
      <c r="BP102" s="5" t="str">
        <f t="shared" si="148"/>
        <v>х</v>
      </c>
      <c r="BQ102" s="5" t="str">
        <f t="shared" si="148"/>
        <v>х</v>
      </c>
      <c r="BR102" s="5" t="str">
        <f>""</f>
        <v/>
      </c>
      <c r="BS102" s="5" t="str">
        <f>"45,00"</f>
        <v>45,00</v>
      </c>
      <c r="BT102" s="5" t="str">
        <f>"2021"</f>
        <v>2021</v>
      </c>
      <c r="BU102" s="5" t="str">
        <f t="shared" si="107"/>
        <v>нет</v>
      </c>
      <c r="BV102" s="5" t="str">
        <f t="shared" si="145"/>
        <v>x</v>
      </c>
      <c r="BW102" s="5" t="str">
        <f t="shared" si="145"/>
        <v>x</v>
      </c>
      <c r="BX102" s="5" t="str">
        <f t="shared" si="145"/>
        <v>x</v>
      </c>
      <c r="BY102" s="5" t="str">
        <f t="shared" si="101"/>
        <v>нет</v>
      </c>
      <c r="BZ102" s="5" t="str">
        <f t="shared" si="149"/>
        <v>x</v>
      </c>
      <c r="CA102" s="5" t="str">
        <f t="shared" si="149"/>
        <v>x</v>
      </c>
      <c r="CB102" s="5" t="str">
        <f t="shared" si="149"/>
        <v>x</v>
      </c>
      <c r="CC102" s="5" t="str">
        <f>""</f>
        <v/>
      </c>
      <c r="CD102" s="5" t="str">
        <f>"30,00"</f>
        <v>30,00</v>
      </c>
      <c r="CE102" s="5" t="str">
        <f>"2026"</f>
        <v>2026</v>
      </c>
      <c r="CF102" s="5" t="str">
        <f>""</f>
        <v/>
      </c>
      <c r="CG102" s="5" t="str">
        <f>"30,00"</f>
        <v>30,00</v>
      </c>
      <c r="CH102" s="5" t="str">
        <f>"2027"</f>
        <v>2027</v>
      </c>
      <c r="CI102" s="5" t="str">
        <f>"38,00"</f>
        <v>38,00</v>
      </c>
      <c r="CJ102" s="5" t="str">
        <f>"2041"</f>
        <v>2041</v>
      </c>
    </row>
    <row r="103" spans="1:88" ht="11.25" customHeight="1">
      <c r="A103" s="3" t="str">
        <f>"1.90"</f>
        <v>1.90</v>
      </c>
      <c r="B103" s="4" t="str">
        <f>"г. Грязовец, ул. Заводская, д.19"</f>
        <v>г. Грязовец, ул. Заводская, д.19</v>
      </c>
      <c r="C103" s="7" t="str">
        <f>"1978"</f>
        <v>1978</v>
      </c>
      <c r="D103" s="5" t="str">
        <f>"1978"</f>
        <v>1978</v>
      </c>
      <c r="E103" s="5" t="str">
        <f>"29,00"</f>
        <v>29,00</v>
      </c>
      <c r="F103" s="5" t="str">
        <f>"2026"</f>
        <v>2026</v>
      </c>
      <c r="G103" s="5" t="str">
        <f>"да"</f>
        <v>да</v>
      </c>
      <c r="H103" s="5" t="str">
        <f>""</f>
        <v/>
      </c>
      <c r="I103" s="5" t="str">
        <f>"25,00"</f>
        <v>25,00</v>
      </c>
      <c r="J103" s="5" t="str">
        <f>"2026"</f>
        <v>2026</v>
      </c>
      <c r="K103" s="5" t="str">
        <f>"да"</f>
        <v>да</v>
      </c>
      <c r="L103" s="5" t="str">
        <f>""</f>
        <v/>
      </c>
      <c r="M103" s="5" t="str">
        <f>"25,00"</f>
        <v>25,00</v>
      </c>
      <c r="N103" s="5" t="str">
        <f>"2026"</f>
        <v>2026</v>
      </c>
      <c r="O103" s="8" t="str">
        <f>"1978"</f>
        <v>1978</v>
      </c>
      <c r="P103" s="5" t="str">
        <f>"34,00"</f>
        <v>34,00</v>
      </c>
      <c r="Q103" s="5" t="str">
        <f>"2026"</f>
        <v>2026</v>
      </c>
      <c r="R103" s="5" t="str">
        <f t="shared" si="127"/>
        <v>нет</v>
      </c>
      <c r="S103" s="5" t="str">
        <f>""</f>
        <v/>
      </c>
      <c r="T103" s="5" t="str">
        <f>""</f>
        <v/>
      </c>
      <c r="U103" s="5" t="str">
        <f>""</f>
        <v/>
      </c>
      <c r="V103" s="5" t="str">
        <f t="shared" si="128"/>
        <v>нет</v>
      </c>
      <c r="W103" s="5" t="str">
        <f>""</f>
        <v/>
      </c>
      <c r="X103" s="5" t="str">
        <f>""</f>
        <v/>
      </c>
      <c r="Y103" s="9" t="str">
        <f>""</f>
        <v/>
      </c>
      <c r="Z103" s="5" t="str">
        <f>"1978"</f>
        <v>1978</v>
      </c>
      <c r="AA103" s="5" t="str">
        <f>"19,00"</f>
        <v>19,00</v>
      </c>
      <c r="AB103" s="5" t="str">
        <f>"2028"</f>
        <v>2028</v>
      </c>
      <c r="AC103" s="5" t="str">
        <f t="shared" si="129"/>
        <v>нет</v>
      </c>
      <c r="AD103" s="5" t="str">
        <f>""</f>
        <v/>
      </c>
      <c r="AE103" s="5" t="str">
        <f>""</f>
        <v/>
      </c>
      <c r="AF103" s="5" t="str">
        <f>""</f>
        <v/>
      </c>
      <c r="AG103" s="5" t="str">
        <f t="shared" si="130"/>
        <v>нет</v>
      </c>
      <c r="AH103" s="5" t="str">
        <f>""</f>
        <v/>
      </c>
      <c r="AI103" s="5" t="str">
        <f>""</f>
        <v/>
      </c>
      <c r="AJ103" s="5" t="str">
        <f>""</f>
        <v/>
      </c>
      <c r="AK103" s="8" t="str">
        <f>"1978"</f>
        <v>1978</v>
      </c>
      <c r="AL103" s="5" t="str">
        <f>"34,00"</f>
        <v>34,00</v>
      </c>
      <c r="AM103" s="5" t="str">
        <f>"2026"</f>
        <v>2026</v>
      </c>
      <c r="AN103" s="5" t="str">
        <f>"нет"</f>
        <v>нет</v>
      </c>
      <c r="AO103" s="5" t="str">
        <f>""</f>
        <v/>
      </c>
      <c r="AP103" s="5" t="str">
        <f>""</f>
        <v/>
      </c>
      <c r="AQ103" s="5" t="str">
        <f>""</f>
        <v/>
      </c>
      <c r="AR103" s="5" t="str">
        <f>"нет"</f>
        <v>нет</v>
      </c>
      <c r="AS103" s="5" t="str">
        <f>""</f>
        <v/>
      </c>
      <c r="AT103" s="5" t="str">
        <f>""</f>
        <v/>
      </c>
      <c r="AU103" s="5" t="str">
        <f>""</f>
        <v/>
      </c>
      <c r="AV103" s="5" t="str">
        <f>"1978"</f>
        <v>1978</v>
      </c>
      <c r="AW103" s="5" t="str">
        <f>"34,00"</f>
        <v>34,00</v>
      </c>
      <c r="AX103" s="5" t="str">
        <f>"2026"</f>
        <v>2026</v>
      </c>
      <c r="AY103" s="5" t="str">
        <f t="shared" ref="AY103:AY108" si="150">"нет"</f>
        <v>нет</v>
      </c>
      <c r="AZ103" s="5" t="str">
        <f>""</f>
        <v/>
      </c>
      <c r="BA103" s="5" t="str">
        <f>""</f>
        <v/>
      </c>
      <c r="BB103" s="5" t="str">
        <f>""</f>
        <v/>
      </c>
      <c r="BC103" s="5" t="str">
        <f t="shared" ref="BC103:BC108" si="151">"нет"</f>
        <v>нет</v>
      </c>
      <c r="BD103" s="5" t="str">
        <f>""</f>
        <v/>
      </c>
      <c r="BE103" s="5" t="str">
        <f>""</f>
        <v/>
      </c>
      <c r="BF103" s="5" t="str">
        <f>""</f>
        <v/>
      </c>
      <c r="BG103" s="5" t="str">
        <f>"1978"</f>
        <v>1978</v>
      </c>
      <c r="BH103" s="5" t="str">
        <f>"34,00"</f>
        <v>34,00</v>
      </c>
      <c r="BI103" s="5" t="str">
        <f>"2026"</f>
        <v>2026</v>
      </c>
      <c r="BJ103" s="5" t="str">
        <f t="shared" ref="BJ103:BJ115" si="152">"нет"</f>
        <v>нет</v>
      </c>
      <c r="BK103" s="5" t="str">
        <f>""</f>
        <v/>
      </c>
      <c r="BL103" s="5" t="str">
        <f>""</f>
        <v/>
      </c>
      <c r="BM103" s="5" t="str">
        <f>""</f>
        <v/>
      </c>
      <c r="BN103" s="5" t="str">
        <f t="shared" ref="BN103:BN115" si="153">"нет"</f>
        <v>нет</v>
      </c>
      <c r="BO103" s="5" t="str">
        <f>""</f>
        <v/>
      </c>
      <c r="BP103" s="5" t="str">
        <f>""</f>
        <v/>
      </c>
      <c r="BQ103" s="5" t="str">
        <f>""</f>
        <v/>
      </c>
      <c r="BR103" s="5" t="str">
        <f>"1978"</f>
        <v>1978</v>
      </c>
      <c r="BS103" s="5" t="str">
        <f>"58,00"</f>
        <v>58,00</v>
      </c>
      <c r="BT103" s="5" t="str">
        <f>"2016"</f>
        <v>2016</v>
      </c>
      <c r="BU103" s="5" t="str">
        <f t="shared" si="107"/>
        <v>нет</v>
      </c>
      <c r="BV103" s="5" t="str">
        <f t="shared" si="145"/>
        <v>x</v>
      </c>
      <c r="BW103" s="5" t="str">
        <f t="shared" si="145"/>
        <v>x</v>
      </c>
      <c r="BX103" s="5" t="str">
        <f t="shared" si="145"/>
        <v>x</v>
      </c>
      <c r="BY103" s="5" t="str">
        <f t="shared" si="101"/>
        <v>нет</v>
      </c>
      <c r="BZ103" s="5" t="str">
        <f>"1978"</f>
        <v>1978</v>
      </c>
      <c r="CA103" s="5" t="str">
        <f>"24,00"</f>
        <v>24,00</v>
      </c>
      <c r="CB103" s="5" t="str">
        <f>"2027"</f>
        <v>2027</v>
      </c>
      <c r="CC103" s="5" t="str">
        <f>"1978"</f>
        <v>1978</v>
      </c>
      <c r="CD103" s="5" t="str">
        <f>"24,00"</f>
        <v>24,00</v>
      </c>
      <c r="CE103" s="5" t="str">
        <f>"2027"</f>
        <v>2027</v>
      </c>
      <c r="CF103" s="5" t="str">
        <f>"1978"</f>
        <v>1978</v>
      </c>
      <c r="CG103" s="5" t="str">
        <f>"39,00"</f>
        <v>39,00</v>
      </c>
      <c r="CH103" s="5" t="str">
        <f>"2026"</f>
        <v>2026</v>
      </c>
      <c r="CI103" s="5" t="str">
        <f>"24,00"</f>
        <v>24,00</v>
      </c>
      <c r="CJ103" s="5" t="str">
        <f>"2043"</f>
        <v>2043</v>
      </c>
    </row>
    <row r="104" spans="1:88" ht="11.25" customHeight="1">
      <c r="A104" s="3" t="str">
        <f>"1.91"</f>
        <v>1.91</v>
      </c>
      <c r="B104" s="4" t="str">
        <f>"г. Грязовец, ул. Заводская, д.21"</f>
        <v>г. Грязовец, ул. Заводская, д.21</v>
      </c>
      <c r="C104" s="7" t="str">
        <f>"1962"</f>
        <v>1962</v>
      </c>
      <c r="D104" s="5" t="str">
        <f>"1962"</f>
        <v>1962</v>
      </c>
      <c r="E104" s="5" t="str">
        <f>"47,00"</f>
        <v>47,00</v>
      </c>
      <c r="F104" s="5" t="str">
        <f>"2025"</f>
        <v>2025</v>
      </c>
      <c r="G104" s="5" t="str">
        <f>"да"</f>
        <v>да</v>
      </c>
      <c r="H104" s="5" t="str">
        <f>""</f>
        <v/>
      </c>
      <c r="I104" s="5" t="str">
        <f>"45,00"</f>
        <v>45,00</v>
      </c>
      <c r="J104" s="5" t="str">
        <f>"2025"</f>
        <v>2025</v>
      </c>
      <c r="K104" s="5" t="str">
        <f>"да"</f>
        <v>да</v>
      </c>
      <c r="L104" s="5" t="str">
        <f>""</f>
        <v/>
      </c>
      <c r="M104" s="5" t="str">
        <f>"45,00"</f>
        <v>45,00</v>
      </c>
      <c r="N104" s="5" t="str">
        <f>"2025"</f>
        <v>2025</v>
      </c>
      <c r="O104" s="8" t="str">
        <f>"1962"</f>
        <v>1962</v>
      </c>
      <c r="P104" s="5" t="str">
        <f>"52,00"</f>
        <v>52,00</v>
      </c>
      <c r="Q104" s="5" t="str">
        <f>"2020"</f>
        <v>2020</v>
      </c>
      <c r="R104" s="5" t="str">
        <f t="shared" si="127"/>
        <v>нет</v>
      </c>
      <c r="S104" s="5" t="str">
        <f>""</f>
        <v/>
      </c>
      <c r="T104" s="5" t="str">
        <f>""</f>
        <v/>
      </c>
      <c r="U104" s="5" t="str">
        <f>""</f>
        <v/>
      </c>
      <c r="V104" s="5" t="str">
        <f t="shared" si="128"/>
        <v>нет</v>
      </c>
      <c r="W104" s="5" t="str">
        <f>""</f>
        <v/>
      </c>
      <c r="X104" s="5" t="str">
        <f>""</f>
        <v/>
      </c>
      <c r="Y104" s="9" t="str">
        <f>""</f>
        <v/>
      </c>
      <c r="Z104" s="5" t="str">
        <f>"1962"</f>
        <v>1962</v>
      </c>
      <c r="AA104" s="5" t="str">
        <f>"37,00"</f>
        <v>37,00</v>
      </c>
      <c r="AB104" s="5" t="str">
        <f>"2026"</f>
        <v>2026</v>
      </c>
      <c r="AC104" s="5" t="str">
        <f t="shared" si="129"/>
        <v>нет</v>
      </c>
      <c r="AD104" s="5" t="str">
        <f>""</f>
        <v/>
      </c>
      <c r="AE104" s="5" t="str">
        <f>""</f>
        <v/>
      </c>
      <c r="AF104" s="5" t="str">
        <f>""</f>
        <v/>
      </c>
      <c r="AG104" s="5" t="str">
        <f t="shared" si="130"/>
        <v>нет</v>
      </c>
      <c r="AH104" s="5" t="str">
        <f>""</f>
        <v/>
      </c>
      <c r="AI104" s="5" t="str">
        <f>""</f>
        <v/>
      </c>
      <c r="AJ104" s="5" t="str">
        <f>""</f>
        <v/>
      </c>
      <c r="AK104" s="8" t="str">
        <f>"1962"</f>
        <v>1962</v>
      </c>
      <c r="AL104" s="5" t="str">
        <f>"52,00"</f>
        <v>52,00</v>
      </c>
      <c r="AM104" s="5" t="str">
        <f>"2020"</f>
        <v>2020</v>
      </c>
      <c r="AN104" s="5" t="str">
        <f>"нет"</f>
        <v>нет</v>
      </c>
      <c r="AO104" s="5" t="str">
        <f>"х"</f>
        <v>х</v>
      </c>
      <c r="AP104" s="5" t="str">
        <f>"х"</f>
        <v>х</v>
      </c>
      <c r="AQ104" s="5" t="str">
        <f>"х"</f>
        <v>х</v>
      </c>
      <c r="AR104" s="5" t="str">
        <f>"нет"</f>
        <v>нет</v>
      </c>
      <c r="AS104" s="5" t="str">
        <f>"х"</f>
        <v>х</v>
      </c>
      <c r="AT104" s="5" t="str">
        <f>"х"</f>
        <v>х</v>
      </c>
      <c r="AU104" s="5" t="str">
        <f>"х"</f>
        <v>х</v>
      </c>
      <c r="AV104" s="5" t="str">
        <f>"1962"</f>
        <v>1962</v>
      </c>
      <c r="AW104" s="5" t="str">
        <f>"52,00"</f>
        <v>52,00</v>
      </c>
      <c r="AX104" s="5" t="str">
        <f>"2020"</f>
        <v>2020</v>
      </c>
      <c r="AY104" s="5" t="str">
        <f t="shared" si="150"/>
        <v>нет</v>
      </c>
      <c r="AZ104" s="5" t="str">
        <f>"х"</f>
        <v>х</v>
      </c>
      <c r="BA104" s="5" t="str">
        <f>"х"</f>
        <v>х</v>
      </c>
      <c r="BB104" s="5" t="str">
        <f>"х"</f>
        <v>х</v>
      </c>
      <c r="BC104" s="5" t="str">
        <f t="shared" si="151"/>
        <v>нет</v>
      </c>
      <c r="BD104" s="5" t="str">
        <f>"х"</f>
        <v>х</v>
      </c>
      <c r="BE104" s="5" t="str">
        <f>"х"</f>
        <v>х</v>
      </c>
      <c r="BF104" s="5" t="str">
        <f>"х"</f>
        <v>х</v>
      </c>
      <c r="BG104" s="5" t="str">
        <f>"1962"</f>
        <v>1962</v>
      </c>
      <c r="BH104" s="5" t="str">
        <f>"52,00"</f>
        <v>52,00</v>
      </c>
      <c r="BI104" s="5" t="str">
        <f>"2020"</f>
        <v>2020</v>
      </c>
      <c r="BJ104" s="5" t="str">
        <f t="shared" si="152"/>
        <v>нет</v>
      </c>
      <c r="BK104" s="5" t="str">
        <f>"х"</f>
        <v>х</v>
      </c>
      <c r="BL104" s="5" t="str">
        <f>"х"</f>
        <v>х</v>
      </c>
      <c r="BM104" s="5" t="str">
        <f>"х"</f>
        <v>х</v>
      </c>
      <c r="BN104" s="5" t="str">
        <f t="shared" si="153"/>
        <v>нет</v>
      </c>
      <c r="BO104" s="5" t="str">
        <f>"х"</f>
        <v>х</v>
      </c>
      <c r="BP104" s="5" t="str">
        <f>"х"</f>
        <v>х</v>
      </c>
      <c r="BQ104" s="5" t="str">
        <f>"х"</f>
        <v>х</v>
      </c>
      <c r="BR104" s="5" t="str">
        <f>"1962"</f>
        <v>1962</v>
      </c>
      <c r="BS104" s="5" t="str">
        <f>"57,00"</f>
        <v>57,00</v>
      </c>
      <c r="BT104" s="5" t="str">
        <f>"2020"</f>
        <v>2020</v>
      </c>
      <c r="BU104" s="5" t="str">
        <f t="shared" si="107"/>
        <v>нет</v>
      </c>
      <c r="BV104" s="5" t="str">
        <f t="shared" si="145"/>
        <v>x</v>
      </c>
      <c r="BW104" s="5" t="str">
        <f t="shared" si="145"/>
        <v>x</v>
      </c>
      <c r="BX104" s="5" t="str">
        <f t="shared" si="145"/>
        <v>x</v>
      </c>
      <c r="BY104" s="5" t="str">
        <f t="shared" si="101"/>
        <v>нет</v>
      </c>
      <c r="BZ104" s="5" t="str">
        <f>"1962"</f>
        <v>1962</v>
      </c>
      <c r="CA104" s="5" t="str">
        <f>"42,00"</f>
        <v>42,00</v>
      </c>
      <c r="CB104" s="5" t="str">
        <f>"2025"</f>
        <v>2025</v>
      </c>
      <c r="CC104" s="5" t="str">
        <f>"1962"</f>
        <v>1962</v>
      </c>
      <c r="CD104" s="5" t="str">
        <f>"42,00"</f>
        <v>42,00</v>
      </c>
      <c r="CE104" s="5" t="str">
        <f>"2025"</f>
        <v>2025</v>
      </c>
      <c r="CF104" s="5" t="str">
        <f>"1962"</f>
        <v>1962</v>
      </c>
      <c r="CG104" s="5" t="str">
        <f>"57,00"</f>
        <v>57,00</v>
      </c>
      <c r="CH104" s="5" t="str">
        <f>"2020"</f>
        <v>2020</v>
      </c>
      <c r="CI104" s="5" t="str">
        <f>"42,00"</f>
        <v>42,00</v>
      </c>
      <c r="CJ104" s="5" t="str">
        <f>"2040"</f>
        <v>2040</v>
      </c>
    </row>
    <row r="105" spans="1:88" ht="11.25" customHeight="1">
      <c r="A105" s="3" t="str">
        <f>"1.92"</f>
        <v>1.92</v>
      </c>
      <c r="B105" s="4" t="str">
        <f>"г. Грязовец, ул. Заводская, д.23"</f>
        <v>г. Грязовец, ул. Заводская, д.23</v>
      </c>
      <c r="C105" s="7" t="str">
        <f>"1980"</f>
        <v>1980</v>
      </c>
      <c r="D105" s="5" t="str">
        <f>"1980"</f>
        <v>1980</v>
      </c>
      <c r="E105" s="5" t="str">
        <f>"23,00"</f>
        <v>23,00</v>
      </c>
      <c r="F105" s="5" t="str">
        <f>"2026"</f>
        <v>2026</v>
      </c>
      <c r="G105" s="5" t="str">
        <f>"да"</f>
        <v>да</v>
      </c>
      <c r="H105" s="5" t="str">
        <f>""</f>
        <v/>
      </c>
      <c r="I105" s="5" t="str">
        <f>"20,00"</f>
        <v>20,00</v>
      </c>
      <c r="J105" s="5" t="str">
        <f>"2026"</f>
        <v>2026</v>
      </c>
      <c r="K105" s="5" t="str">
        <f>"да"</f>
        <v>да</v>
      </c>
      <c r="L105" s="5" t="str">
        <f>""</f>
        <v/>
      </c>
      <c r="M105" s="5" t="str">
        <f>"20,00"</f>
        <v>20,00</v>
      </c>
      <c r="N105" s="5" t="str">
        <f>"2026"</f>
        <v>2026</v>
      </c>
      <c r="O105" s="8" t="str">
        <f>"1980"</f>
        <v>1980</v>
      </c>
      <c r="P105" s="5" t="str">
        <f>"28,00"</f>
        <v>28,00</v>
      </c>
      <c r="Q105" s="5" t="str">
        <f>"2026"</f>
        <v>2026</v>
      </c>
      <c r="R105" s="5" t="str">
        <f t="shared" si="127"/>
        <v>нет</v>
      </c>
      <c r="S105" s="5" t="str">
        <f>""</f>
        <v/>
      </c>
      <c r="T105" s="5" t="str">
        <f>""</f>
        <v/>
      </c>
      <c r="U105" s="5" t="str">
        <f>""</f>
        <v/>
      </c>
      <c r="V105" s="5" t="str">
        <f t="shared" si="128"/>
        <v>нет</v>
      </c>
      <c r="W105" s="5" t="str">
        <f>""</f>
        <v/>
      </c>
      <c r="X105" s="5" t="str">
        <f>""</f>
        <v/>
      </c>
      <c r="Y105" s="9" t="str">
        <f>""</f>
        <v/>
      </c>
      <c r="Z105" s="5" t="str">
        <f>"1980"</f>
        <v>1980</v>
      </c>
      <c r="AA105" s="5" t="str">
        <f>"13,00"</f>
        <v>13,00</v>
      </c>
      <c r="AB105" s="5" t="str">
        <f>"2027"</f>
        <v>2027</v>
      </c>
      <c r="AC105" s="5" t="str">
        <f t="shared" si="129"/>
        <v>нет</v>
      </c>
      <c r="AD105" s="5" t="str">
        <f>""</f>
        <v/>
      </c>
      <c r="AE105" s="5" t="str">
        <f>""</f>
        <v/>
      </c>
      <c r="AF105" s="5" t="str">
        <f>""</f>
        <v/>
      </c>
      <c r="AG105" s="5" t="str">
        <f t="shared" si="130"/>
        <v>нет</v>
      </c>
      <c r="AH105" s="5" t="str">
        <f>""</f>
        <v/>
      </c>
      <c r="AI105" s="5" t="str">
        <f>""</f>
        <v/>
      </c>
      <c r="AJ105" s="5" t="str">
        <f>""</f>
        <v/>
      </c>
      <c r="AK105" s="8" t="str">
        <f>"1980"</f>
        <v>1980</v>
      </c>
      <c r="AL105" s="5" t="str">
        <f>"28,00"</f>
        <v>28,00</v>
      </c>
      <c r="AM105" s="5" t="str">
        <f>"2026"</f>
        <v>2026</v>
      </c>
      <c r="AN105" s="5" t="str">
        <f>"нет"</f>
        <v>нет</v>
      </c>
      <c r="AO105" s="5" t="str">
        <f>""</f>
        <v/>
      </c>
      <c r="AP105" s="5" t="str">
        <f>""</f>
        <v/>
      </c>
      <c r="AQ105" s="5" t="str">
        <f>""</f>
        <v/>
      </c>
      <c r="AR105" s="5" t="str">
        <f>"нет"</f>
        <v>нет</v>
      </c>
      <c r="AS105" s="5" t="str">
        <f>""</f>
        <v/>
      </c>
      <c r="AT105" s="5" t="str">
        <f>""</f>
        <v/>
      </c>
      <c r="AU105" s="5" t="str">
        <f>""</f>
        <v/>
      </c>
      <c r="AV105" s="5" t="str">
        <f>"1980"</f>
        <v>1980</v>
      </c>
      <c r="AW105" s="5" t="str">
        <f>"28,00"</f>
        <v>28,00</v>
      </c>
      <c r="AX105" s="5" t="str">
        <f>"2026"</f>
        <v>2026</v>
      </c>
      <c r="AY105" s="5" t="str">
        <f t="shared" si="150"/>
        <v>нет</v>
      </c>
      <c r="AZ105" s="5" t="str">
        <f>""</f>
        <v/>
      </c>
      <c r="BA105" s="5" t="str">
        <f>""</f>
        <v/>
      </c>
      <c r="BB105" s="5" t="str">
        <f>""</f>
        <v/>
      </c>
      <c r="BC105" s="5" t="str">
        <f t="shared" si="151"/>
        <v>нет</v>
      </c>
      <c r="BD105" s="5" t="str">
        <f>""</f>
        <v/>
      </c>
      <c r="BE105" s="5" t="str">
        <f>""</f>
        <v/>
      </c>
      <c r="BF105" s="5" t="str">
        <f>""</f>
        <v/>
      </c>
      <c r="BG105" s="5" t="str">
        <f>"1980"</f>
        <v>1980</v>
      </c>
      <c r="BH105" s="5" t="str">
        <f>"28,00"</f>
        <v>28,00</v>
      </c>
      <c r="BI105" s="5" t="str">
        <f>"2026"</f>
        <v>2026</v>
      </c>
      <c r="BJ105" s="5" t="str">
        <f t="shared" si="152"/>
        <v>нет</v>
      </c>
      <c r="BK105" s="5" t="str">
        <f>""</f>
        <v/>
      </c>
      <c r="BL105" s="5" t="str">
        <f>""</f>
        <v/>
      </c>
      <c r="BM105" s="5" t="str">
        <f>""</f>
        <v/>
      </c>
      <c r="BN105" s="5" t="str">
        <f t="shared" si="153"/>
        <v>нет</v>
      </c>
      <c r="BO105" s="5" t="str">
        <f>""</f>
        <v/>
      </c>
      <c r="BP105" s="5" t="str">
        <f>""</f>
        <v/>
      </c>
      <c r="BQ105" s="5" t="str">
        <f>""</f>
        <v/>
      </c>
      <c r="BR105" s="5" t="str">
        <f>"1980"</f>
        <v>1980</v>
      </c>
      <c r="BS105" s="5" t="str">
        <f>"33,00"</f>
        <v>33,00</v>
      </c>
      <c r="BT105" s="5" t="str">
        <f>"2026"</f>
        <v>2026</v>
      </c>
      <c r="BU105" s="5" t="str">
        <f t="shared" si="107"/>
        <v>нет</v>
      </c>
      <c r="BV105" s="5" t="str">
        <f t="shared" si="145"/>
        <v>x</v>
      </c>
      <c r="BW105" s="5" t="str">
        <f t="shared" si="145"/>
        <v>x</v>
      </c>
      <c r="BX105" s="5" t="str">
        <f t="shared" si="145"/>
        <v>x</v>
      </c>
      <c r="BY105" s="5" t="str">
        <f t="shared" si="101"/>
        <v>нет</v>
      </c>
      <c r="BZ105" s="5" t="str">
        <f>"1980"</f>
        <v>1980</v>
      </c>
      <c r="CA105" s="5" t="str">
        <f>"18,00"</f>
        <v>18,00</v>
      </c>
      <c r="CB105" s="5" t="str">
        <f>"2027"</f>
        <v>2027</v>
      </c>
      <c r="CC105" s="5" t="str">
        <f>"1980"</f>
        <v>1980</v>
      </c>
      <c r="CD105" s="5" t="str">
        <f>"18,00"</f>
        <v>18,00</v>
      </c>
      <c r="CE105" s="5" t="str">
        <f>"2027"</f>
        <v>2027</v>
      </c>
      <c r="CF105" s="5" t="str">
        <f>"1980"</f>
        <v>1980</v>
      </c>
      <c r="CG105" s="5" t="str">
        <f>"33,00"</f>
        <v>33,00</v>
      </c>
      <c r="CH105" s="5" t="str">
        <f>"2025"</f>
        <v>2025</v>
      </c>
      <c r="CI105" s="5" t="str">
        <f>"18,00"</f>
        <v>18,00</v>
      </c>
      <c r="CJ105" s="5" t="str">
        <f>"2043"</f>
        <v>2043</v>
      </c>
    </row>
    <row r="106" spans="1:88" ht="11.25" customHeight="1">
      <c r="A106" s="3" t="str">
        <f>"1.93"</f>
        <v>1.93</v>
      </c>
      <c r="B106" s="4" t="str">
        <f>"г. Грязовец, ул. Заводская, д.4А"</f>
        <v>г. Грязовец, ул. Заводская, д.4А</v>
      </c>
      <c r="C106" s="7" t="str">
        <f>"1982"</f>
        <v>1982</v>
      </c>
      <c r="D106" s="5" t="str">
        <f>"1982"</f>
        <v>1982</v>
      </c>
      <c r="E106" s="5" t="str">
        <f>"27,00"</f>
        <v>27,00</v>
      </c>
      <c r="F106" s="5" t="str">
        <f>"2025"</f>
        <v>2025</v>
      </c>
      <c r="G106" s="5" t="str">
        <f>"да"</f>
        <v>да</v>
      </c>
      <c r="H106" s="5" t="str">
        <f>""</f>
        <v/>
      </c>
      <c r="I106" s="5" t="str">
        <f>"25,00"</f>
        <v>25,00</v>
      </c>
      <c r="J106" s="5" t="str">
        <f>"2025"</f>
        <v>2025</v>
      </c>
      <c r="K106" s="5" t="str">
        <f>"да"</f>
        <v>да</v>
      </c>
      <c r="L106" s="5" t="str">
        <f>""</f>
        <v/>
      </c>
      <c r="M106" s="5" t="str">
        <f>"25,00"</f>
        <v>25,00</v>
      </c>
      <c r="N106" s="5" t="str">
        <f>"2025"</f>
        <v>2025</v>
      </c>
      <c r="O106" s="8" t="str">
        <f>"1982"</f>
        <v>1982</v>
      </c>
      <c r="P106" s="5" t="str">
        <f>"32,00"</f>
        <v>32,00</v>
      </c>
      <c r="Q106" s="5" t="str">
        <f>"2026"</f>
        <v>2026</v>
      </c>
      <c r="R106" s="5" t="str">
        <f t="shared" si="127"/>
        <v>нет</v>
      </c>
      <c r="S106" s="5" t="str">
        <f>""</f>
        <v/>
      </c>
      <c r="T106" s="5" t="str">
        <f>""</f>
        <v/>
      </c>
      <c r="U106" s="5" t="str">
        <f>""</f>
        <v/>
      </c>
      <c r="V106" s="5" t="str">
        <f t="shared" si="128"/>
        <v>нет</v>
      </c>
      <c r="W106" s="5" t="str">
        <f>""</f>
        <v/>
      </c>
      <c r="X106" s="5" t="str">
        <f>""</f>
        <v/>
      </c>
      <c r="Y106" s="9" t="str">
        <f>""</f>
        <v/>
      </c>
      <c r="Z106" s="5" t="str">
        <f>"1982"</f>
        <v>1982</v>
      </c>
      <c r="AA106" s="5" t="str">
        <f>"17,00"</f>
        <v>17,00</v>
      </c>
      <c r="AB106" s="5" t="str">
        <f>"2026"</f>
        <v>2026</v>
      </c>
      <c r="AC106" s="5" t="str">
        <f t="shared" si="129"/>
        <v>нет</v>
      </c>
      <c r="AD106" s="5" t="str">
        <f>""</f>
        <v/>
      </c>
      <c r="AE106" s="5" t="str">
        <f>""</f>
        <v/>
      </c>
      <c r="AF106" s="5" t="str">
        <f>""</f>
        <v/>
      </c>
      <c r="AG106" s="5" t="str">
        <f t="shared" si="130"/>
        <v>нет</v>
      </c>
      <c r="AH106" s="5" t="str">
        <f>""</f>
        <v/>
      </c>
      <c r="AI106" s="5" t="str">
        <f>""</f>
        <v/>
      </c>
      <c r="AJ106" s="5" t="str">
        <f>""</f>
        <v/>
      </c>
      <c r="AK106" s="8" t="str">
        <f>"1982"</f>
        <v>1982</v>
      </c>
      <c r="AL106" s="5" t="str">
        <f>"32,00"</f>
        <v>32,00</v>
      </c>
      <c r="AM106" s="5" t="str">
        <f>"2026"</f>
        <v>2026</v>
      </c>
      <c r="AN106" s="5" t="str">
        <f>"да"</f>
        <v>да</v>
      </c>
      <c r="AO106" s="5" t="str">
        <f>""</f>
        <v/>
      </c>
      <c r="AP106" s="5" t="str">
        <f>"30,00"</f>
        <v>30,00</v>
      </c>
      <c r="AQ106" s="5" t="str">
        <f>"2026"</f>
        <v>2026</v>
      </c>
      <c r="AR106" s="5" t="str">
        <f>"да"</f>
        <v>да</v>
      </c>
      <c r="AS106" s="5" t="str">
        <f>""</f>
        <v/>
      </c>
      <c r="AT106" s="5" t="str">
        <f>"30,00"</f>
        <v>30,00</v>
      </c>
      <c r="AU106" s="5" t="str">
        <f>"2026"</f>
        <v>2026</v>
      </c>
      <c r="AV106" s="5" t="str">
        <f>"1982"</f>
        <v>1982</v>
      </c>
      <c r="AW106" s="5" t="str">
        <f>"32,00"</f>
        <v>32,00</v>
      </c>
      <c r="AX106" s="5" t="str">
        <f>"2026"</f>
        <v>2026</v>
      </c>
      <c r="AY106" s="5" t="str">
        <f t="shared" si="150"/>
        <v>нет</v>
      </c>
      <c r="AZ106" s="5" t="str">
        <f>""</f>
        <v/>
      </c>
      <c r="BA106" s="5" t="str">
        <f>""</f>
        <v/>
      </c>
      <c r="BB106" s="5" t="str">
        <f>""</f>
        <v/>
      </c>
      <c r="BC106" s="5" t="str">
        <f t="shared" si="151"/>
        <v>нет</v>
      </c>
      <c r="BD106" s="5" t="str">
        <f>""</f>
        <v/>
      </c>
      <c r="BE106" s="5" t="str">
        <f>""</f>
        <v/>
      </c>
      <c r="BF106" s="5" t="str">
        <f>""</f>
        <v/>
      </c>
      <c r="BG106" s="5" t="str">
        <f>"1982"</f>
        <v>1982</v>
      </c>
      <c r="BH106" s="5" t="str">
        <f>"32,00"</f>
        <v>32,00</v>
      </c>
      <c r="BI106" s="5" t="str">
        <f>"2026"</f>
        <v>2026</v>
      </c>
      <c r="BJ106" s="5" t="str">
        <f t="shared" si="152"/>
        <v>нет</v>
      </c>
      <c r="BK106" s="5" t="str">
        <f>""</f>
        <v/>
      </c>
      <c r="BL106" s="5" t="str">
        <f>""</f>
        <v/>
      </c>
      <c r="BM106" s="5" t="str">
        <f>""</f>
        <v/>
      </c>
      <c r="BN106" s="5" t="str">
        <f t="shared" si="153"/>
        <v>нет</v>
      </c>
      <c r="BO106" s="5" t="str">
        <f>""</f>
        <v/>
      </c>
      <c r="BP106" s="5" t="str">
        <f>""</f>
        <v/>
      </c>
      <c r="BQ106" s="5" t="str">
        <f>""</f>
        <v/>
      </c>
      <c r="BR106" s="5" t="str">
        <f>"1982"</f>
        <v>1982</v>
      </c>
      <c r="BS106" s="5" t="str">
        <f>"37,00"</f>
        <v>37,00</v>
      </c>
      <c r="BT106" s="5" t="str">
        <f>"2025"</f>
        <v>2025</v>
      </c>
      <c r="BU106" s="5" t="str">
        <f t="shared" si="107"/>
        <v>нет</v>
      </c>
      <c r="BV106" s="5" t="str">
        <f t="shared" si="145"/>
        <v>x</v>
      </c>
      <c r="BW106" s="5" t="str">
        <f t="shared" si="145"/>
        <v>x</v>
      </c>
      <c r="BX106" s="5" t="str">
        <f t="shared" si="145"/>
        <v>x</v>
      </c>
      <c r="BY106" s="5" t="str">
        <f>"да"</f>
        <v>да</v>
      </c>
      <c r="BZ106" s="5" t="str">
        <f>"1982"</f>
        <v>1982</v>
      </c>
      <c r="CA106" s="5" t="str">
        <f>"51,00"</f>
        <v>51,00</v>
      </c>
      <c r="CB106" s="5" t="str">
        <f>"2017"</f>
        <v>2017</v>
      </c>
      <c r="CC106" s="5" t="str">
        <f>"1982"</f>
        <v>1982</v>
      </c>
      <c r="CD106" s="5" t="str">
        <f>"22,00"</f>
        <v>22,00</v>
      </c>
      <c r="CE106" s="5" t="str">
        <f>"2026"</f>
        <v>2026</v>
      </c>
      <c r="CF106" s="5" t="str">
        <f>"1982"</f>
        <v>1982</v>
      </c>
      <c r="CG106" s="5" t="str">
        <f>"37,00"</f>
        <v>37,00</v>
      </c>
      <c r="CH106" s="5" t="str">
        <f>"2025"</f>
        <v>2025</v>
      </c>
      <c r="CI106" s="5" t="str">
        <f>"22,00"</f>
        <v>22,00</v>
      </c>
      <c r="CJ106" s="5" t="str">
        <f>"2043"</f>
        <v>2043</v>
      </c>
    </row>
    <row r="107" spans="1:88" ht="11.25" customHeight="1">
      <c r="A107" s="3" t="str">
        <f>"1.94"</f>
        <v>1.94</v>
      </c>
      <c r="B107" s="4" t="str">
        <f>"г. Грязовец, ул. Заводская, д.6"</f>
        <v>г. Грязовец, ул. Заводская, д.6</v>
      </c>
      <c r="C107" s="7" t="str">
        <f>"1972"</f>
        <v>1972</v>
      </c>
      <c r="D107" s="5" t="str">
        <f>"1972"</f>
        <v>1972</v>
      </c>
      <c r="E107" s="5" t="str">
        <f>"37,00"</f>
        <v>37,00</v>
      </c>
      <c r="F107" s="5" t="str">
        <f>"2025"</f>
        <v>2025</v>
      </c>
      <c r="G107" s="5" t="str">
        <f>"да"</f>
        <v>да</v>
      </c>
      <c r="H107" s="5" t="str">
        <f>""</f>
        <v/>
      </c>
      <c r="I107" s="5" t="str">
        <f>"30,00"</f>
        <v>30,00</v>
      </c>
      <c r="J107" s="5" t="str">
        <f>"2025"</f>
        <v>2025</v>
      </c>
      <c r="K107" s="5" t="str">
        <f>"да"</f>
        <v>да</v>
      </c>
      <c r="L107" s="5" t="str">
        <f>""</f>
        <v/>
      </c>
      <c r="M107" s="5" t="str">
        <f>"30,00"</f>
        <v>30,00</v>
      </c>
      <c r="N107" s="5" t="str">
        <f>"2025"</f>
        <v>2025</v>
      </c>
      <c r="O107" s="8" t="str">
        <f>"1972"</f>
        <v>1972</v>
      </c>
      <c r="P107" s="5" t="str">
        <f>"42,00"</f>
        <v>42,00</v>
      </c>
      <c r="Q107" s="5" t="str">
        <f>"2019"</f>
        <v>2019</v>
      </c>
      <c r="R107" s="5" t="str">
        <f t="shared" si="127"/>
        <v>нет</v>
      </c>
      <c r="S107" s="5" t="str">
        <f>""</f>
        <v/>
      </c>
      <c r="T107" s="5" t="str">
        <f>""</f>
        <v/>
      </c>
      <c r="U107" s="5" t="str">
        <f>""</f>
        <v/>
      </c>
      <c r="V107" s="5" t="str">
        <f t="shared" si="128"/>
        <v>нет</v>
      </c>
      <c r="W107" s="5" t="str">
        <f>""</f>
        <v/>
      </c>
      <c r="X107" s="5" t="str">
        <f>""</f>
        <v/>
      </c>
      <c r="Y107" s="9" t="str">
        <f>""</f>
        <v/>
      </c>
      <c r="Z107" s="5" t="str">
        <f>"1972"</f>
        <v>1972</v>
      </c>
      <c r="AA107" s="5" t="str">
        <f>"27,00"</f>
        <v>27,00</v>
      </c>
      <c r="AB107" s="5" t="str">
        <f>"2027"</f>
        <v>2027</v>
      </c>
      <c r="AC107" s="5" t="str">
        <f t="shared" si="129"/>
        <v>нет</v>
      </c>
      <c r="AD107" s="5" t="str">
        <f>""</f>
        <v/>
      </c>
      <c r="AE107" s="5" t="str">
        <f>""</f>
        <v/>
      </c>
      <c r="AF107" s="5" t="str">
        <f>""</f>
        <v/>
      </c>
      <c r="AG107" s="5" t="str">
        <f t="shared" si="130"/>
        <v>нет</v>
      </c>
      <c r="AH107" s="5" t="str">
        <f>""</f>
        <v/>
      </c>
      <c r="AI107" s="5" t="str">
        <f>""</f>
        <v/>
      </c>
      <c r="AJ107" s="5" t="str">
        <f>""</f>
        <v/>
      </c>
      <c r="AK107" s="8" t="str">
        <f>"1972"</f>
        <v>1972</v>
      </c>
      <c r="AL107" s="5" t="str">
        <f>"42,00"</f>
        <v>42,00</v>
      </c>
      <c r="AM107" s="5" t="str">
        <f>"2025"</f>
        <v>2025</v>
      </c>
      <c r="AN107" s="5" t="str">
        <f>"нет"</f>
        <v>нет</v>
      </c>
      <c r="AO107" s="5" t="str">
        <f>""</f>
        <v/>
      </c>
      <c r="AP107" s="5" t="str">
        <f>""</f>
        <v/>
      </c>
      <c r="AQ107" s="5" t="str">
        <f>""</f>
        <v/>
      </c>
      <c r="AR107" s="5" t="str">
        <f t="shared" ref="AR107:AR115" si="154">"нет"</f>
        <v>нет</v>
      </c>
      <c r="AS107" s="5" t="str">
        <f>""</f>
        <v/>
      </c>
      <c r="AT107" s="5" t="str">
        <f>""</f>
        <v/>
      </c>
      <c r="AU107" s="5" t="str">
        <f>""</f>
        <v/>
      </c>
      <c r="AV107" s="5" t="str">
        <f>"1972"</f>
        <v>1972</v>
      </c>
      <c r="AW107" s="5" t="str">
        <f>"42,00"</f>
        <v>42,00</v>
      </c>
      <c r="AX107" s="5" t="str">
        <f>"2025"</f>
        <v>2025</v>
      </c>
      <c r="AY107" s="5" t="str">
        <f t="shared" si="150"/>
        <v>нет</v>
      </c>
      <c r="AZ107" s="5" t="str">
        <f>""</f>
        <v/>
      </c>
      <c r="BA107" s="5" t="str">
        <f>""</f>
        <v/>
      </c>
      <c r="BB107" s="5" t="str">
        <f>""</f>
        <v/>
      </c>
      <c r="BC107" s="5" t="str">
        <f t="shared" si="151"/>
        <v>нет</v>
      </c>
      <c r="BD107" s="5" t="str">
        <f>""</f>
        <v/>
      </c>
      <c r="BE107" s="5" t="str">
        <f>""</f>
        <v/>
      </c>
      <c r="BF107" s="5" t="str">
        <f>""</f>
        <v/>
      </c>
      <c r="BG107" s="5" t="str">
        <f>"1972"</f>
        <v>1972</v>
      </c>
      <c r="BH107" s="5" t="str">
        <f>"42,00"</f>
        <v>42,00</v>
      </c>
      <c r="BI107" s="5" t="str">
        <f>"2025"</f>
        <v>2025</v>
      </c>
      <c r="BJ107" s="5" t="str">
        <f t="shared" si="152"/>
        <v>нет</v>
      </c>
      <c r="BK107" s="5" t="str">
        <f>""</f>
        <v/>
      </c>
      <c r="BL107" s="5" t="str">
        <f>""</f>
        <v/>
      </c>
      <c r="BM107" s="5" t="str">
        <f>""</f>
        <v/>
      </c>
      <c r="BN107" s="5" t="str">
        <f t="shared" si="153"/>
        <v>нет</v>
      </c>
      <c r="BO107" s="5" t="str">
        <f>""</f>
        <v/>
      </c>
      <c r="BP107" s="5" t="str">
        <f>""</f>
        <v/>
      </c>
      <c r="BQ107" s="5" t="str">
        <f>""</f>
        <v/>
      </c>
      <c r="BR107" s="5" t="str">
        <f>"1972"</f>
        <v>1972</v>
      </c>
      <c r="BS107" s="5" t="str">
        <f>"47,00"</f>
        <v>47,00</v>
      </c>
      <c r="BT107" s="5" t="str">
        <f>"2015"</f>
        <v>2015</v>
      </c>
      <c r="BU107" s="5" t="str">
        <f t="shared" si="107"/>
        <v>нет</v>
      </c>
      <c r="BV107" s="5" t="str">
        <f t="shared" si="145"/>
        <v>x</v>
      </c>
      <c r="BW107" s="5" t="str">
        <f t="shared" si="145"/>
        <v>x</v>
      </c>
      <c r="BX107" s="5" t="str">
        <f t="shared" si="145"/>
        <v>x</v>
      </c>
      <c r="BY107" s="5" t="str">
        <f t="shared" ref="BY107:BY129" si="155">"нет"</f>
        <v>нет</v>
      </c>
      <c r="BZ107" s="5" t="str">
        <f>"1972"</f>
        <v>1972</v>
      </c>
      <c r="CA107" s="5" t="str">
        <f>"32,00"</f>
        <v>32,00</v>
      </c>
      <c r="CB107" s="5" t="str">
        <f>"2025"</f>
        <v>2025</v>
      </c>
      <c r="CC107" s="5" t="str">
        <f>"1972"</f>
        <v>1972</v>
      </c>
      <c r="CD107" s="5" t="str">
        <f>"32,00"</f>
        <v>32,00</v>
      </c>
      <c r="CE107" s="5" t="str">
        <f>"2025"</f>
        <v>2025</v>
      </c>
      <c r="CF107" s="5" t="str">
        <f>"1972"</f>
        <v>1972</v>
      </c>
      <c r="CG107" s="5" t="str">
        <f>"47,00"</f>
        <v>47,00</v>
      </c>
      <c r="CH107" s="5" t="str">
        <f>"2021"</f>
        <v>2021</v>
      </c>
      <c r="CI107" s="5" t="str">
        <f>"32,00"</f>
        <v>32,00</v>
      </c>
      <c r="CJ107" s="5" t="str">
        <f>"2042"</f>
        <v>2042</v>
      </c>
    </row>
    <row r="108" spans="1:88" ht="11.25" customHeight="1">
      <c r="A108" s="3" t="str">
        <f>"1.95"</f>
        <v>1.95</v>
      </c>
      <c r="B108" s="4" t="str">
        <f>"г. Грязовец, ул. Заводская, д.9"</f>
        <v>г. Грязовец, ул. Заводская, д.9</v>
      </c>
      <c r="C108" s="7" t="str">
        <f>"1962"</f>
        <v>1962</v>
      </c>
      <c r="D108" s="5" t="str">
        <f>"1962"</f>
        <v>1962</v>
      </c>
      <c r="E108" s="5" t="str">
        <f>"34,00"</f>
        <v>34,00</v>
      </c>
      <c r="F108" s="5" t="str">
        <f>"2026"</f>
        <v>2026</v>
      </c>
      <c r="G108" s="5" t="str">
        <f>"нет"</f>
        <v>нет</v>
      </c>
      <c r="H108" s="5" t="str">
        <f>""</f>
        <v/>
      </c>
      <c r="I108" s="5" t="str">
        <f>""</f>
        <v/>
      </c>
      <c r="J108" s="5" t="str">
        <f>""</f>
        <v/>
      </c>
      <c r="K108" s="5" t="str">
        <f>"нет"</f>
        <v>нет</v>
      </c>
      <c r="L108" s="5" t="str">
        <f>""</f>
        <v/>
      </c>
      <c r="M108" s="5" t="str">
        <f>""</f>
        <v/>
      </c>
      <c r="N108" s="5" t="str">
        <f>""</f>
        <v/>
      </c>
      <c r="O108" s="8" t="str">
        <f>"1962"</f>
        <v>1962</v>
      </c>
      <c r="P108" s="5" t="str">
        <f>"39,00"</f>
        <v>39,00</v>
      </c>
      <c r="Q108" s="5" t="str">
        <f>"2026"</f>
        <v>2026</v>
      </c>
      <c r="R108" s="5" t="str">
        <f t="shared" si="127"/>
        <v>нет</v>
      </c>
      <c r="S108" s="5" t="str">
        <f>""</f>
        <v/>
      </c>
      <c r="T108" s="5" t="str">
        <f>""</f>
        <v/>
      </c>
      <c r="U108" s="5" t="str">
        <f>""</f>
        <v/>
      </c>
      <c r="V108" s="5" t="str">
        <f t="shared" si="128"/>
        <v>нет</v>
      </c>
      <c r="W108" s="5" t="str">
        <f>""</f>
        <v/>
      </c>
      <c r="X108" s="5" t="str">
        <f>""</f>
        <v/>
      </c>
      <c r="Y108" s="9" t="str">
        <f>""</f>
        <v/>
      </c>
      <c r="Z108" s="5" t="str">
        <f>"1962"</f>
        <v>1962</v>
      </c>
      <c r="AA108" s="5" t="str">
        <f>"24,00"</f>
        <v>24,00</v>
      </c>
      <c r="AB108" s="5" t="str">
        <f>"2028"</f>
        <v>2028</v>
      </c>
      <c r="AC108" s="5" t="str">
        <f t="shared" si="129"/>
        <v>нет</v>
      </c>
      <c r="AD108" s="5" t="str">
        <f>""</f>
        <v/>
      </c>
      <c r="AE108" s="5" t="str">
        <f>""</f>
        <v/>
      </c>
      <c r="AF108" s="5" t="str">
        <f>""</f>
        <v/>
      </c>
      <c r="AG108" s="5" t="str">
        <f t="shared" si="130"/>
        <v>нет</v>
      </c>
      <c r="AH108" s="5" t="str">
        <f>""</f>
        <v/>
      </c>
      <c r="AI108" s="5" t="str">
        <f>""</f>
        <v/>
      </c>
      <c r="AJ108" s="5" t="str">
        <f>""</f>
        <v/>
      </c>
      <c r="AK108" s="8" t="str">
        <f>"1962"</f>
        <v>1962</v>
      </c>
      <c r="AL108" s="5" t="str">
        <f>"39,00"</f>
        <v>39,00</v>
      </c>
      <c r="AM108" s="5" t="str">
        <f>"2026"</f>
        <v>2026</v>
      </c>
      <c r="AN108" s="5" t="str">
        <f>"нет"</f>
        <v>нет</v>
      </c>
      <c r="AO108" s="5" t="str">
        <f>"х"</f>
        <v>х</v>
      </c>
      <c r="AP108" s="5" t="str">
        <f>"х"</f>
        <v>х</v>
      </c>
      <c r="AQ108" s="5" t="str">
        <f>"х"</f>
        <v>х</v>
      </c>
      <c r="AR108" s="5" t="str">
        <f t="shared" si="154"/>
        <v>нет</v>
      </c>
      <c r="AS108" s="5" t="str">
        <f>"х"</f>
        <v>х</v>
      </c>
      <c r="AT108" s="5" t="str">
        <f>"х"</f>
        <v>х</v>
      </c>
      <c r="AU108" s="5" t="str">
        <f>"х"</f>
        <v>х</v>
      </c>
      <c r="AV108" s="5" t="str">
        <f>"1962"</f>
        <v>1962</v>
      </c>
      <c r="AW108" s="5" t="str">
        <f>"39,00"</f>
        <v>39,00</v>
      </c>
      <c r="AX108" s="5" t="str">
        <f>"2026"</f>
        <v>2026</v>
      </c>
      <c r="AY108" s="5" t="str">
        <f t="shared" si="150"/>
        <v>нет</v>
      </c>
      <c r="AZ108" s="5" t="str">
        <f>"х"</f>
        <v>х</v>
      </c>
      <c r="BA108" s="5" t="str">
        <f>"х"</f>
        <v>х</v>
      </c>
      <c r="BB108" s="5" t="str">
        <f>"х"</f>
        <v>х</v>
      </c>
      <c r="BC108" s="5" t="str">
        <f t="shared" si="151"/>
        <v>нет</v>
      </c>
      <c r="BD108" s="5" t="str">
        <f>"х"</f>
        <v>х</v>
      </c>
      <c r="BE108" s="5" t="str">
        <f>"х"</f>
        <v>х</v>
      </c>
      <c r="BF108" s="5" t="str">
        <f>"х"</f>
        <v>х</v>
      </c>
      <c r="BG108" s="5" t="str">
        <f>"1962"</f>
        <v>1962</v>
      </c>
      <c r="BH108" s="5" t="str">
        <f>"39,00"</f>
        <v>39,00</v>
      </c>
      <c r="BI108" s="5" t="str">
        <f>"2026"</f>
        <v>2026</v>
      </c>
      <c r="BJ108" s="5" t="str">
        <f t="shared" si="152"/>
        <v>нет</v>
      </c>
      <c r="BK108" s="5" t="str">
        <f>"х"</f>
        <v>х</v>
      </c>
      <c r="BL108" s="5" t="str">
        <f>"х"</f>
        <v>х</v>
      </c>
      <c r="BM108" s="5" t="str">
        <f>"х"</f>
        <v>х</v>
      </c>
      <c r="BN108" s="5" t="str">
        <f t="shared" si="153"/>
        <v>нет</v>
      </c>
      <c r="BO108" s="5" t="str">
        <f>"х"</f>
        <v>х</v>
      </c>
      <c r="BP108" s="5" t="str">
        <f>"х"</f>
        <v>х</v>
      </c>
      <c r="BQ108" s="5" t="str">
        <f>"х"</f>
        <v>х</v>
      </c>
      <c r="BR108" s="5" t="str">
        <f>"1962"</f>
        <v>1962</v>
      </c>
      <c r="BS108" s="5" t="str">
        <f>"44,00"</f>
        <v>44,00</v>
      </c>
      <c r="BT108" s="5" t="str">
        <f>"2025"</f>
        <v>2025</v>
      </c>
      <c r="BU108" s="5" t="str">
        <f t="shared" si="107"/>
        <v>нет</v>
      </c>
      <c r="BV108" s="5" t="str">
        <f t="shared" si="145"/>
        <v>x</v>
      </c>
      <c r="BW108" s="5" t="str">
        <f t="shared" si="145"/>
        <v>x</v>
      </c>
      <c r="BX108" s="5" t="str">
        <f t="shared" si="145"/>
        <v>x</v>
      </c>
      <c r="BY108" s="5" t="str">
        <f t="shared" si="155"/>
        <v>нет</v>
      </c>
      <c r="BZ108" s="5" t="str">
        <f>"1962"</f>
        <v>1962</v>
      </c>
      <c r="CA108" s="5" t="str">
        <f>"29,00"</f>
        <v>29,00</v>
      </c>
      <c r="CB108" s="5" t="str">
        <f>"2028"</f>
        <v>2028</v>
      </c>
      <c r="CC108" s="5" t="str">
        <f>"1962"</f>
        <v>1962</v>
      </c>
      <c r="CD108" s="5" t="str">
        <f>"29,00"</f>
        <v>29,00</v>
      </c>
      <c r="CE108" s="5" t="str">
        <f>"2028"</f>
        <v>2028</v>
      </c>
      <c r="CF108" s="5" t="str">
        <f>"1962"</f>
        <v>1962</v>
      </c>
      <c r="CG108" s="5" t="str">
        <f>"44,00"</f>
        <v>44,00</v>
      </c>
      <c r="CH108" s="5" t="str">
        <f>"2025"</f>
        <v>2025</v>
      </c>
      <c r="CI108" s="5" t="str">
        <f>"29,00"</f>
        <v>29,00</v>
      </c>
      <c r="CJ108" s="5" t="str">
        <f>"2043"</f>
        <v>2043</v>
      </c>
    </row>
    <row r="109" spans="1:88" ht="11.25" customHeight="1">
      <c r="A109" s="3" t="str">
        <f>"1.96"</f>
        <v>1.96</v>
      </c>
      <c r="B109" s="4" t="str">
        <f>"г. Грязовец, ул. Карла Маркса, д.35"</f>
        <v>г. Грязовец, ул. Карла Маркса, д.35</v>
      </c>
      <c r="C109" s="7" t="str">
        <f>"2009"</f>
        <v>2009</v>
      </c>
      <c r="D109" s="5" t="str">
        <f>"2009"</f>
        <v>2009</v>
      </c>
      <c r="E109" s="5" t="str">
        <f>"3,00"</f>
        <v>3,00</v>
      </c>
      <c r="F109" s="5" t="str">
        <f>"2030"</f>
        <v>2030</v>
      </c>
      <c r="G109" s="5" t="str">
        <f>"да"</f>
        <v>да</v>
      </c>
      <c r="H109" s="5" t="str">
        <f>""</f>
        <v/>
      </c>
      <c r="I109" s="5" t="str">
        <f>"3,00"</f>
        <v>3,00</v>
      </c>
      <c r="J109" s="5" t="str">
        <f>"2030"</f>
        <v>2030</v>
      </c>
      <c r="K109" s="5" t="str">
        <f>"нет"</f>
        <v>нет</v>
      </c>
      <c r="L109" s="5" t="str">
        <f>""</f>
        <v/>
      </c>
      <c r="M109" s="5" t="str">
        <f>""</f>
        <v/>
      </c>
      <c r="N109" s="5" t="str">
        <f>""</f>
        <v/>
      </c>
      <c r="O109" s="8" t="str">
        <f>""</f>
        <v/>
      </c>
      <c r="P109" s="5" t="str">
        <f>""</f>
        <v/>
      </c>
      <c r="Q109" s="5" t="str">
        <f>""</f>
        <v/>
      </c>
      <c r="R109" s="5" t="str">
        <f>""</f>
        <v/>
      </c>
      <c r="S109" s="5" t="str">
        <f>""</f>
        <v/>
      </c>
      <c r="T109" s="5" t="str">
        <f>""</f>
        <v/>
      </c>
      <c r="U109" s="5" t="str">
        <f>""</f>
        <v/>
      </c>
      <c r="V109" s="5" t="str">
        <f>""</f>
        <v/>
      </c>
      <c r="W109" s="5" t="str">
        <f>""</f>
        <v/>
      </c>
      <c r="X109" s="5" t="str">
        <f>""</f>
        <v/>
      </c>
      <c r="Y109" s="9" t="str">
        <f>""</f>
        <v/>
      </c>
      <c r="Z109" s="5" t="str">
        <f>"2009"</f>
        <v>2009</v>
      </c>
      <c r="AA109" s="5" t="str">
        <f>"3,00"</f>
        <v>3,00</v>
      </c>
      <c r="AB109" s="5" t="str">
        <f>"2031"</f>
        <v>2031</v>
      </c>
      <c r="AC109" s="5" t="str">
        <f>"да"</f>
        <v>да</v>
      </c>
      <c r="AD109" s="5" t="str">
        <f>""</f>
        <v/>
      </c>
      <c r="AE109" s="5" t="str">
        <f>"3,00"</f>
        <v>3,00</v>
      </c>
      <c r="AF109" s="5" t="str">
        <f>"2031"</f>
        <v>2031</v>
      </c>
      <c r="AG109" s="5" t="str">
        <f t="shared" si="130"/>
        <v>нет</v>
      </c>
      <c r="AH109" s="5" t="str">
        <f>""</f>
        <v/>
      </c>
      <c r="AI109" s="5" t="str">
        <f>""</f>
        <v/>
      </c>
      <c r="AJ109" s="5" t="str">
        <f>""</f>
        <v/>
      </c>
      <c r="AK109" s="8" t="str">
        <f>"2009"</f>
        <v>2009</v>
      </c>
      <c r="AL109" s="5" t="str">
        <f>"3,00"</f>
        <v>3,00</v>
      </c>
      <c r="AM109" s="5" t="str">
        <f>"2032"</f>
        <v>2032</v>
      </c>
      <c r="AN109" s="5" t="str">
        <f>"да"</f>
        <v>да</v>
      </c>
      <c r="AO109" s="5" t="str">
        <f>""</f>
        <v/>
      </c>
      <c r="AP109" s="5" t="str">
        <f>"3,00"</f>
        <v>3,00</v>
      </c>
      <c r="AQ109" s="5" t="str">
        <f>"2032"</f>
        <v>2032</v>
      </c>
      <c r="AR109" s="5" t="str">
        <f t="shared" si="154"/>
        <v>нет</v>
      </c>
      <c r="AS109" s="5" t="str">
        <f>""</f>
        <v/>
      </c>
      <c r="AT109" s="5" t="str">
        <f>""</f>
        <v/>
      </c>
      <c r="AU109" s="5" t="str">
        <f>""</f>
        <v/>
      </c>
      <c r="AV109" s="5" t="str">
        <f>""</f>
        <v/>
      </c>
      <c r="AW109" s="5" t="str">
        <f>""</f>
        <v/>
      </c>
      <c r="AX109" s="5" t="str">
        <f>""</f>
        <v/>
      </c>
      <c r="AY109" s="5" t="str">
        <f>""</f>
        <v/>
      </c>
      <c r="AZ109" s="5" t="str">
        <f>""</f>
        <v/>
      </c>
      <c r="BA109" s="5" t="str">
        <f>""</f>
        <v/>
      </c>
      <c r="BB109" s="5" t="str">
        <f>""</f>
        <v/>
      </c>
      <c r="BC109" s="5" t="str">
        <f>""</f>
        <v/>
      </c>
      <c r="BD109" s="5" t="str">
        <f>""</f>
        <v/>
      </c>
      <c r="BE109" s="5" t="str">
        <f>""</f>
        <v/>
      </c>
      <c r="BF109" s="5" t="str">
        <f>""</f>
        <v/>
      </c>
      <c r="BG109" s="5" t="str">
        <f>"2009"</f>
        <v>2009</v>
      </c>
      <c r="BH109" s="5" t="str">
        <f>"3,00"</f>
        <v>3,00</v>
      </c>
      <c r="BI109" s="5" t="str">
        <f>"2031"</f>
        <v>2031</v>
      </c>
      <c r="BJ109" s="5" t="str">
        <f t="shared" si="152"/>
        <v>нет</v>
      </c>
      <c r="BK109" s="5" t="str">
        <f>""</f>
        <v/>
      </c>
      <c r="BL109" s="5" t="str">
        <f>""</f>
        <v/>
      </c>
      <c r="BM109" s="5" t="str">
        <f>""</f>
        <v/>
      </c>
      <c r="BN109" s="5" t="str">
        <f t="shared" si="153"/>
        <v>нет</v>
      </c>
      <c r="BO109" s="5" t="str">
        <f>""</f>
        <v/>
      </c>
      <c r="BP109" s="5" t="str">
        <f>""</f>
        <v/>
      </c>
      <c r="BQ109" s="5" t="str">
        <f>""</f>
        <v/>
      </c>
      <c r="BR109" s="5" t="str">
        <f>"2009"</f>
        <v>2009</v>
      </c>
      <c r="BS109" s="5" t="str">
        <f>"5,00"</f>
        <v>5,00</v>
      </c>
      <c r="BT109" s="5" t="str">
        <f>"2029"</f>
        <v>2029</v>
      </c>
      <c r="BU109" s="5" t="str">
        <f t="shared" si="107"/>
        <v>нет</v>
      </c>
      <c r="BV109" s="5" t="str">
        <f t="shared" si="145"/>
        <v>x</v>
      </c>
      <c r="BW109" s="5" t="str">
        <f t="shared" si="145"/>
        <v>x</v>
      </c>
      <c r="BX109" s="5" t="str">
        <f t="shared" si="145"/>
        <v>x</v>
      </c>
      <c r="BY109" s="5" t="str">
        <f t="shared" si="155"/>
        <v>нет</v>
      </c>
      <c r="BZ109" s="5" t="str">
        <f>"2009"</f>
        <v>2009</v>
      </c>
      <c r="CA109" s="5" t="str">
        <f>"3,00"</f>
        <v>3,00</v>
      </c>
      <c r="CB109" s="5" t="str">
        <f>"2035"</f>
        <v>2035</v>
      </c>
      <c r="CC109" s="5" t="str">
        <f>"2009"</f>
        <v>2009</v>
      </c>
      <c r="CD109" s="5" t="str">
        <f>"1,00"</f>
        <v>1,00</v>
      </c>
      <c r="CE109" s="5" t="str">
        <f>"2036"</f>
        <v>2036</v>
      </c>
      <c r="CF109" s="5" t="str">
        <f>"2009"</f>
        <v>2009</v>
      </c>
      <c r="CG109" s="5" t="str">
        <f>"3,00"</f>
        <v>3,00</v>
      </c>
      <c r="CH109" s="5" t="str">
        <f>"2029"</f>
        <v>2029</v>
      </c>
      <c r="CI109" s="5" t="str">
        <f>"3,00"</f>
        <v>3,00</v>
      </c>
      <c r="CJ109" s="5" t="str">
        <f>"2034"</f>
        <v>2034</v>
      </c>
    </row>
    <row r="110" spans="1:88" ht="11.25" customHeight="1">
      <c r="A110" s="3" t="str">
        <f>"1.97"</f>
        <v>1.97</v>
      </c>
      <c r="B110" s="4" t="str">
        <f>"г. Грязовец, ул. Карла Маркса, д.37"</f>
        <v>г. Грязовец, ул. Карла Маркса, д.37</v>
      </c>
      <c r="C110" s="7" t="str">
        <f>"1982"</f>
        <v>1982</v>
      </c>
      <c r="D110" s="5" t="str">
        <f>"1982"</f>
        <v>1982</v>
      </c>
      <c r="E110" s="5" t="str">
        <f>"26,00"</f>
        <v>26,00</v>
      </c>
      <c r="F110" s="5" t="str">
        <f>"2028"</f>
        <v>2028</v>
      </c>
      <c r="G110" s="5" t="str">
        <f>"да"</f>
        <v>да</v>
      </c>
      <c r="H110" s="5" t="str">
        <f>""</f>
        <v/>
      </c>
      <c r="I110" s="5" t="str">
        <f>"25,00"</f>
        <v>25,00</v>
      </c>
      <c r="J110" s="5" t="str">
        <f>"2028"</f>
        <v>2028</v>
      </c>
      <c r="K110" s="5" t="str">
        <f>"да"</f>
        <v>да</v>
      </c>
      <c r="L110" s="5" t="str">
        <f>""</f>
        <v/>
      </c>
      <c r="M110" s="5" t="str">
        <f>"25,00"</f>
        <v>25,00</v>
      </c>
      <c r="N110" s="5" t="str">
        <f>"2028"</f>
        <v>2028</v>
      </c>
      <c r="O110" s="8" t="str">
        <f>"1982"</f>
        <v>1982</v>
      </c>
      <c r="P110" s="5" t="str">
        <f>"31,00"</f>
        <v>31,00</v>
      </c>
      <c r="Q110" s="5" t="str">
        <f>"2028"</f>
        <v>2028</v>
      </c>
      <c r="R110" s="5" t="str">
        <f>"нет"</f>
        <v>нет</v>
      </c>
      <c r="S110" s="5" t="str">
        <f t="shared" ref="S110:U113" si="156">"х"</f>
        <v>х</v>
      </c>
      <c r="T110" s="5" t="str">
        <f t="shared" si="156"/>
        <v>х</v>
      </c>
      <c r="U110" s="5" t="str">
        <f t="shared" si="156"/>
        <v>х</v>
      </c>
      <c r="V110" s="5" t="str">
        <f>"нет"</f>
        <v>нет</v>
      </c>
      <c r="W110" s="5" t="str">
        <f t="shared" ref="W110:Y113" si="157">"х"</f>
        <v>х</v>
      </c>
      <c r="X110" s="5" t="str">
        <f t="shared" si="157"/>
        <v>х</v>
      </c>
      <c r="Y110" s="9" t="str">
        <f t="shared" si="157"/>
        <v>х</v>
      </c>
      <c r="Z110" s="5" t="str">
        <f>"1982"</f>
        <v>1982</v>
      </c>
      <c r="AA110" s="5" t="str">
        <f>"16,00"</f>
        <v>16,00</v>
      </c>
      <c r="AB110" s="5" t="str">
        <f>"2028"</f>
        <v>2028</v>
      </c>
      <c r="AC110" s="5" t="str">
        <f>"нет"</f>
        <v>нет</v>
      </c>
      <c r="AD110" s="5" t="str">
        <f>""</f>
        <v/>
      </c>
      <c r="AE110" s="5" t="str">
        <f>""</f>
        <v/>
      </c>
      <c r="AF110" s="5" t="str">
        <f>""</f>
        <v/>
      </c>
      <c r="AG110" s="5" t="str">
        <f t="shared" si="130"/>
        <v>нет</v>
      </c>
      <c r="AH110" s="5" t="str">
        <f>""</f>
        <v/>
      </c>
      <c r="AI110" s="5" t="str">
        <f>""</f>
        <v/>
      </c>
      <c r="AJ110" s="5" t="str">
        <f>""</f>
        <v/>
      </c>
      <c r="AK110" s="8" t="str">
        <f>"1982"</f>
        <v>1982</v>
      </c>
      <c r="AL110" s="5" t="str">
        <f>"31,00"</f>
        <v>31,00</v>
      </c>
      <c r="AM110" s="5" t="str">
        <f>"2028"</f>
        <v>2028</v>
      </c>
      <c r="AN110" s="5" t="str">
        <f t="shared" ref="AN110:AN115" si="158">"нет"</f>
        <v>нет</v>
      </c>
      <c r="AO110" s="5" t="str">
        <f t="shared" ref="AO110:AQ113" si="159">"х"</f>
        <v>х</v>
      </c>
      <c r="AP110" s="5" t="str">
        <f t="shared" si="159"/>
        <v>х</v>
      </c>
      <c r="AQ110" s="5" t="str">
        <f t="shared" si="159"/>
        <v>х</v>
      </c>
      <c r="AR110" s="5" t="str">
        <f t="shared" si="154"/>
        <v>нет</v>
      </c>
      <c r="AS110" s="5" t="str">
        <f t="shared" ref="AS110:AU113" si="160">"х"</f>
        <v>х</v>
      </c>
      <c r="AT110" s="5" t="str">
        <f t="shared" si="160"/>
        <v>х</v>
      </c>
      <c r="AU110" s="5" t="str">
        <f t="shared" si="160"/>
        <v>х</v>
      </c>
      <c r="AV110" s="5" t="str">
        <f>"1982"</f>
        <v>1982</v>
      </c>
      <c r="AW110" s="5" t="str">
        <f>"31,00"</f>
        <v>31,00</v>
      </c>
      <c r="AX110" s="5" t="str">
        <f>"2028"</f>
        <v>2028</v>
      </c>
      <c r="AY110" s="5" t="str">
        <f>"нет"</f>
        <v>нет</v>
      </c>
      <c r="AZ110" s="5" t="str">
        <f t="shared" ref="AZ110:BB113" si="161">"х"</f>
        <v>х</v>
      </c>
      <c r="BA110" s="5" t="str">
        <f t="shared" si="161"/>
        <v>х</v>
      </c>
      <c r="BB110" s="5" t="str">
        <f t="shared" si="161"/>
        <v>х</v>
      </c>
      <c r="BC110" s="5" t="str">
        <f>"нет"</f>
        <v>нет</v>
      </c>
      <c r="BD110" s="5" t="str">
        <f t="shared" ref="BD110:BF113" si="162">"х"</f>
        <v>х</v>
      </c>
      <c r="BE110" s="5" t="str">
        <f t="shared" si="162"/>
        <v>х</v>
      </c>
      <c r="BF110" s="5" t="str">
        <f t="shared" si="162"/>
        <v>х</v>
      </c>
      <c r="BG110" s="5" t="str">
        <f>"1982"</f>
        <v>1982</v>
      </c>
      <c r="BH110" s="5" t="str">
        <f>"31,00"</f>
        <v>31,00</v>
      </c>
      <c r="BI110" s="5" t="str">
        <f>"2028"</f>
        <v>2028</v>
      </c>
      <c r="BJ110" s="5" t="str">
        <f t="shared" si="152"/>
        <v>нет</v>
      </c>
      <c r="BK110" s="5" t="str">
        <f t="shared" ref="BK110:BM113" si="163">"х"</f>
        <v>х</v>
      </c>
      <c r="BL110" s="5" t="str">
        <f t="shared" si="163"/>
        <v>х</v>
      </c>
      <c r="BM110" s="5" t="str">
        <f t="shared" si="163"/>
        <v>х</v>
      </c>
      <c r="BN110" s="5" t="str">
        <f t="shared" si="153"/>
        <v>нет</v>
      </c>
      <c r="BO110" s="5" t="str">
        <f t="shared" ref="BO110:BQ113" si="164">"х"</f>
        <v>х</v>
      </c>
      <c r="BP110" s="5" t="str">
        <f t="shared" si="164"/>
        <v>х</v>
      </c>
      <c r="BQ110" s="5" t="str">
        <f t="shared" si="164"/>
        <v>х</v>
      </c>
      <c r="BR110" s="5" t="str">
        <f>"1982"</f>
        <v>1982</v>
      </c>
      <c r="BS110" s="5" t="str">
        <f>"36,00"</f>
        <v>36,00</v>
      </c>
      <c r="BT110" s="5" t="str">
        <f>"2028"</f>
        <v>2028</v>
      </c>
      <c r="BU110" s="5" t="str">
        <f t="shared" si="107"/>
        <v>нет</v>
      </c>
      <c r="BV110" s="5" t="str">
        <f t="shared" si="145"/>
        <v>x</v>
      </c>
      <c r="BW110" s="5" t="str">
        <f t="shared" si="145"/>
        <v>x</v>
      </c>
      <c r="BX110" s="5" t="str">
        <f t="shared" si="145"/>
        <v>x</v>
      </c>
      <c r="BY110" s="5" t="str">
        <f t="shared" si="155"/>
        <v>нет</v>
      </c>
      <c r="BZ110" s="5" t="str">
        <f>"1982"</f>
        <v>1982</v>
      </c>
      <c r="CA110" s="5" t="str">
        <f>"21,00"</f>
        <v>21,00</v>
      </c>
      <c r="CB110" s="5" t="str">
        <f>"2030"</f>
        <v>2030</v>
      </c>
      <c r="CC110" s="5" t="str">
        <f>"1982"</f>
        <v>1982</v>
      </c>
      <c r="CD110" s="5" t="str">
        <f>"21,00"</f>
        <v>21,00</v>
      </c>
      <c r="CE110" s="5" t="str">
        <f>"2030"</f>
        <v>2030</v>
      </c>
      <c r="CF110" s="5" t="str">
        <f>"1982"</f>
        <v>1982</v>
      </c>
      <c r="CG110" s="5" t="str">
        <f>"36,00"</f>
        <v>36,00</v>
      </c>
      <c r="CH110" s="5" t="str">
        <f>"2028"</f>
        <v>2028</v>
      </c>
      <c r="CI110" s="5" t="str">
        <f>"21,00"</f>
        <v>21,00</v>
      </c>
      <c r="CJ110" s="5" t="str">
        <f>"2041"</f>
        <v>2041</v>
      </c>
    </row>
    <row r="111" spans="1:88" ht="11.25" customHeight="1">
      <c r="A111" s="3" t="str">
        <f>"1.98"</f>
        <v>1.98</v>
      </c>
      <c r="B111" s="4" t="str">
        <f>"г. Грязовец, ул. Карла Маркса, д.37А"</f>
        <v>г. Грязовец, ул. Карла Маркса, д.37А</v>
      </c>
      <c r="C111" s="7" t="str">
        <f>"1986"</f>
        <v>1986</v>
      </c>
      <c r="D111" s="5" t="str">
        <f>"1986"</f>
        <v>1986</v>
      </c>
      <c r="E111" s="5" t="str">
        <f>"25,00"</f>
        <v>25,00</v>
      </c>
      <c r="F111" s="5" t="str">
        <f>"2028"</f>
        <v>2028</v>
      </c>
      <c r="G111" s="5" t="str">
        <f>"да"</f>
        <v>да</v>
      </c>
      <c r="H111" s="5" t="str">
        <f>""</f>
        <v/>
      </c>
      <c r="I111" s="5" t="str">
        <f>"20,00"</f>
        <v>20,00</v>
      </c>
      <c r="J111" s="5" t="str">
        <f>"2028"</f>
        <v>2028</v>
      </c>
      <c r="K111" s="5" t="str">
        <f>"да"</f>
        <v>да</v>
      </c>
      <c r="L111" s="5" t="str">
        <f>""</f>
        <v/>
      </c>
      <c r="M111" s="5" t="str">
        <f>"20,00"</f>
        <v>20,00</v>
      </c>
      <c r="N111" s="5" t="str">
        <f>"2028"</f>
        <v>2028</v>
      </c>
      <c r="O111" s="8" t="str">
        <f>"1986"</f>
        <v>1986</v>
      </c>
      <c r="P111" s="5" t="str">
        <f>"30,00"</f>
        <v>30,00</v>
      </c>
      <c r="Q111" s="5" t="str">
        <f>"2028"</f>
        <v>2028</v>
      </c>
      <c r="R111" s="5" t="str">
        <f>"нет"</f>
        <v>нет</v>
      </c>
      <c r="S111" s="5" t="str">
        <f t="shared" si="156"/>
        <v>х</v>
      </c>
      <c r="T111" s="5" t="str">
        <f t="shared" si="156"/>
        <v>х</v>
      </c>
      <c r="U111" s="5" t="str">
        <f t="shared" si="156"/>
        <v>х</v>
      </c>
      <c r="V111" s="5" t="str">
        <f>"нет"</f>
        <v>нет</v>
      </c>
      <c r="W111" s="5" t="str">
        <f t="shared" si="157"/>
        <v>х</v>
      </c>
      <c r="X111" s="5" t="str">
        <f t="shared" si="157"/>
        <v>х</v>
      </c>
      <c r="Y111" s="9" t="str">
        <f t="shared" si="157"/>
        <v>х</v>
      </c>
      <c r="Z111" s="5" t="str">
        <f>"1986"</f>
        <v>1986</v>
      </c>
      <c r="AA111" s="5" t="str">
        <f>"15,00"</f>
        <v>15,00</v>
      </c>
      <c r="AB111" s="5" t="str">
        <f>"2030"</f>
        <v>2030</v>
      </c>
      <c r="AC111" s="5" t="str">
        <f>"нет"</f>
        <v>нет</v>
      </c>
      <c r="AD111" s="5" t="str">
        <f>""</f>
        <v/>
      </c>
      <c r="AE111" s="5" t="str">
        <f>""</f>
        <v/>
      </c>
      <c r="AF111" s="5" t="str">
        <f>""</f>
        <v/>
      </c>
      <c r="AG111" s="5" t="str">
        <f t="shared" si="130"/>
        <v>нет</v>
      </c>
      <c r="AH111" s="5" t="str">
        <f>""</f>
        <v/>
      </c>
      <c r="AI111" s="5" t="str">
        <f>""</f>
        <v/>
      </c>
      <c r="AJ111" s="5" t="str">
        <f>""</f>
        <v/>
      </c>
      <c r="AK111" s="8" t="str">
        <f>"1986"</f>
        <v>1986</v>
      </c>
      <c r="AL111" s="5" t="str">
        <f>"30,00"</f>
        <v>30,00</v>
      </c>
      <c r="AM111" s="5" t="str">
        <f>"2028"</f>
        <v>2028</v>
      </c>
      <c r="AN111" s="5" t="str">
        <f t="shared" si="158"/>
        <v>нет</v>
      </c>
      <c r="AO111" s="5" t="str">
        <f t="shared" si="159"/>
        <v>х</v>
      </c>
      <c r="AP111" s="5" t="str">
        <f t="shared" si="159"/>
        <v>х</v>
      </c>
      <c r="AQ111" s="5" t="str">
        <f t="shared" si="159"/>
        <v>х</v>
      </c>
      <c r="AR111" s="5" t="str">
        <f t="shared" si="154"/>
        <v>нет</v>
      </c>
      <c r="AS111" s="5" t="str">
        <f t="shared" si="160"/>
        <v>х</v>
      </c>
      <c r="AT111" s="5" t="str">
        <f t="shared" si="160"/>
        <v>х</v>
      </c>
      <c r="AU111" s="5" t="str">
        <f t="shared" si="160"/>
        <v>х</v>
      </c>
      <c r="AV111" s="5" t="str">
        <f>"1986"</f>
        <v>1986</v>
      </c>
      <c r="AW111" s="5" t="str">
        <f>"30,00"</f>
        <v>30,00</v>
      </c>
      <c r="AX111" s="5" t="str">
        <f>"2028"</f>
        <v>2028</v>
      </c>
      <c r="AY111" s="5" t="str">
        <f>"нет"</f>
        <v>нет</v>
      </c>
      <c r="AZ111" s="5" t="str">
        <f t="shared" si="161"/>
        <v>х</v>
      </c>
      <c r="BA111" s="5" t="str">
        <f t="shared" si="161"/>
        <v>х</v>
      </c>
      <c r="BB111" s="5" t="str">
        <f t="shared" si="161"/>
        <v>х</v>
      </c>
      <c r="BC111" s="5" t="str">
        <f>"нет"</f>
        <v>нет</v>
      </c>
      <c r="BD111" s="5" t="str">
        <f t="shared" si="162"/>
        <v>х</v>
      </c>
      <c r="BE111" s="5" t="str">
        <f t="shared" si="162"/>
        <v>х</v>
      </c>
      <c r="BF111" s="5" t="str">
        <f t="shared" si="162"/>
        <v>х</v>
      </c>
      <c r="BG111" s="5" t="str">
        <f>"1986"</f>
        <v>1986</v>
      </c>
      <c r="BH111" s="5" t="str">
        <f>"30,00"</f>
        <v>30,00</v>
      </c>
      <c r="BI111" s="5" t="str">
        <f>"2028"</f>
        <v>2028</v>
      </c>
      <c r="BJ111" s="5" t="str">
        <f t="shared" si="152"/>
        <v>нет</v>
      </c>
      <c r="BK111" s="5" t="str">
        <f t="shared" si="163"/>
        <v>х</v>
      </c>
      <c r="BL111" s="5" t="str">
        <f t="shared" si="163"/>
        <v>х</v>
      </c>
      <c r="BM111" s="5" t="str">
        <f t="shared" si="163"/>
        <v>х</v>
      </c>
      <c r="BN111" s="5" t="str">
        <f t="shared" si="153"/>
        <v>нет</v>
      </c>
      <c r="BO111" s="5" t="str">
        <f t="shared" si="164"/>
        <v>х</v>
      </c>
      <c r="BP111" s="5" t="str">
        <f t="shared" si="164"/>
        <v>х</v>
      </c>
      <c r="BQ111" s="5" t="str">
        <f t="shared" si="164"/>
        <v>х</v>
      </c>
      <c r="BR111" s="5" t="str">
        <f>"1986"</f>
        <v>1986</v>
      </c>
      <c r="BS111" s="5" t="str">
        <f>"35,00"</f>
        <v>35,00</v>
      </c>
      <c r="BT111" s="5" t="str">
        <f>"2028"</f>
        <v>2028</v>
      </c>
      <c r="BU111" s="5" t="str">
        <f t="shared" si="107"/>
        <v>нет</v>
      </c>
      <c r="BV111" s="5" t="str">
        <f t="shared" si="145"/>
        <v>x</v>
      </c>
      <c r="BW111" s="5" t="str">
        <f t="shared" si="145"/>
        <v>x</v>
      </c>
      <c r="BX111" s="5" t="str">
        <f t="shared" si="145"/>
        <v>x</v>
      </c>
      <c r="BY111" s="5" t="str">
        <f t="shared" si="155"/>
        <v>нет</v>
      </c>
      <c r="BZ111" s="5" t="str">
        <f>"1986"</f>
        <v>1986</v>
      </c>
      <c r="CA111" s="5" t="str">
        <f>"20,00"</f>
        <v>20,00</v>
      </c>
      <c r="CB111" s="5" t="str">
        <f>"2030"</f>
        <v>2030</v>
      </c>
      <c r="CC111" s="5" t="str">
        <f>"1986"</f>
        <v>1986</v>
      </c>
      <c r="CD111" s="5" t="str">
        <f>"20,00"</f>
        <v>20,00</v>
      </c>
      <c r="CE111" s="5" t="str">
        <f>"2030"</f>
        <v>2030</v>
      </c>
      <c r="CF111" s="5" t="str">
        <f>"1986"</f>
        <v>1986</v>
      </c>
      <c r="CG111" s="5" t="str">
        <f>"35,00"</f>
        <v>35,00</v>
      </c>
      <c r="CH111" s="5" t="str">
        <f>"2028"</f>
        <v>2028</v>
      </c>
      <c r="CI111" s="5" t="str">
        <f>"20,00"</f>
        <v>20,00</v>
      </c>
      <c r="CJ111" s="5" t="str">
        <f>"2043"</f>
        <v>2043</v>
      </c>
    </row>
    <row r="112" spans="1:88" ht="11.25" customHeight="1">
      <c r="A112" s="3" t="str">
        <f>"1.99"</f>
        <v>1.99</v>
      </c>
      <c r="B112" s="4" t="str">
        <f>"г. Грязовец, ул. Карла Маркса, д.38"</f>
        <v>г. Грязовец, ул. Карла Маркса, д.38</v>
      </c>
      <c r="C112" s="7" t="str">
        <f>"1917"</f>
        <v>1917</v>
      </c>
      <c r="D112" s="5" t="str">
        <f>"1917"</f>
        <v>1917</v>
      </c>
      <c r="E112" s="5" t="str">
        <f>"72,00"</f>
        <v>72,00</v>
      </c>
      <c r="F112" s="5" t="str">
        <f>"2019"</f>
        <v>2019</v>
      </c>
      <c r="G112" s="5" t="str">
        <f>"да"</f>
        <v>да</v>
      </c>
      <c r="H112" s="5" t="str">
        <f>""</f>
        <v/>
      </c>
      <c r="I112" s="5" t="str">
        <f>"65,00"</f>
        <v>65,00</v>
      </c>
      <c r="J112" s="5" t="str">
        <f>"2019"</f>
        <v>2019</v>
      </c>
      <c r="K112" s="5" t="str">
        <f>"да"</f>
        <v>да</v>
      </c>
      <c r="L112" s="5" t="str">
        <f>""</f>
        <v/>
      </c>
      <c r="M112" s="5" t="str">
        <f>"65,00"</f>
        <v>65,00</v>
      </c>
      <c r="N112" s="5" t="str">
        <f>"2019"</f>
        <v>2019</v>
      </c>
      <c r="O112" s="8" t="str">
        <f>"1917"</f>
        <v>1917</v>
      </c>
      <c r="P112" s="5" t="str">
        <f>"77,00"</f>
        <v>77,00</v>
      </c>
      <c r="Q112" s="5" t="str">
        <f>"2019"</f>
        <v>2019</v>
      </c>
      <c r="R112" s="5" t="str">
        <f>"нет"</f>
        <v>нет</v>
      </c>
      <c r="S112" s="5" t="str">
        <f t="shared" si="156"/>
        <v>х</v>
      </c>
      <c r="T112" s="5" t="str">
        <f t="shared" si="156"/>
        <v>х</v>
      </c>
      <c r="U112" s="5" t="str">
        <f t="shared" si="156"/>
        <v>х</v>
      </c>
      <c r="V112" s="5" t="str">
        <f>"нет"</f>
        <v>нет</v>
      </c>
      <c r="W112" s="5" t="str">
        <f t="shared" si="157"/>
        <v>х</v>
      </c>
      <c r="X112" s="5" t="str">
        <f t="shared" si="157"/>
        <v>х</v>
      </c>
      <c r="Y112" s="9" t="str">
        <f t="shared" si="157"/>
        <v>х</v>
      </c>
      <c r="Z112" s="5" t="str">
        <f>"1917"</f>
        <v>1917</v>
      </c>
      <c r="AA112" s="5" t="str">
        <f>"62,00"</f>
        <v>62,00</v>
      </c>
      <c r="AB112" s="5" t="str">
        <f>"2019"</f>
        <v>2019</v>
      </c>
      <c r="AC112" s="5" t="str">
        <f>"нет"</f>
        <v>нет</v>
      </c>
      <c r="AD112" s="5" t="str">
        <f>""</f>
        <v/>
      </c>
      <c r="AE112" s="5" t="str">
        <f>""</f>
        <v/>
      </c>
      <c r="AF112" s="5" t="str">
        <f>""</f>
        <v/>
      </c>
      <c r="AG112" s="5" t="str">
        <f t="shared" si="130"/>
        <v>нет</v>
      </c>
      <c r="AH112" s="5" t="str">
        <f>""</f>
        <v/>
      </c>
      <c r="AI112" s="5" t="str">
        <f>""</f>
        <v/>
      </c>
      <c r="AJ112" s="5" t="str">
        <f>""</f>
        <v/>
      </c>
      <c r="AK112" s="8" t="str">
        <f>"1917"</f>
        <v>1917</v>
      </c>
      <c r="AL112" s="5" t="str">
        <f>"77,00"</f>
        <v>77,00</v>
      </c>
      <c r="AM112" s="5" t="str">
        <f>"2019"</f>
        <v>2019</v>
      </c>
      <c r="AN112" s="5" t="str">
        <f t="shared" si="158"/>
        <v>нет</v>
      </c>
      <c r="AO112" s="5" t="str">
        <f t="shared" si="159"/>
        <v>х</v>
      </c>
      <c r="AP112" s="5" t="str">
        <f t="shared" si="159"/>
        <v>х</v>
      </c>
      <c r="AQ112" s="5" t="str">
        <f t="shared" si="159"/>
        <v>х</v>
      </c>
      <c r="AR112" s="5" t="str">
        <f t="shared" si="154"/>
        <v>нет</v>
      </c>
      <c r="AS112" s="5" t="str">
        <f t="shared" si="160"/>
        <v>х</v>
      </c>
      <c r="AT112" s="5" t="str">
        <f t="shared" si="160"/>
        <v>х</v>
      </c>
      <c r="AU112" s="5" t="str">
        <f t="shared" si="160"/>
        <v>х</v>
      </c>
      <c r="AV112" s="5" t="str">
        <f>"1917"</f>
        <v>1917</v>
      </c>
      <c r="AW112" s="5" t="str">
        <f>"77,00"</f>
        <v>77,00</v>
      </c>
      <c r="AX112" s="5" t="str">
        <f>"2020"</f>
        <v>2020</v>
      </c>
      <c r="AY112" s="5" t="str">
        <f>"нет"</f>
        <v>нет</v>
      </c>
      <c r="AZ112" s="5" t="str">
        <f t="shared" si="161"/>
        <v>х</v>
      </c>
      <c r="BA112" s="5" t="str">
        <f t="shared" si="161"/>
        <v>х</v>
      </c>
      <c r="BB112" s="5" t="str">
        <f t="shared" si="161"/>
        <v>х</v>
      </c>
      <c r="BC112" s="5" t="str">
        <f>"нет"</f>
        <v>нет</v>
      </c>
      <c r="BD112" s="5" t="str">
        <f t="shared" si="162"/>
        <v>х</v>
      </c>
      <c r="BE112" s="5" t="str">
        <f t="shared" si="162"/>
        <v>х</v>
      </c>
      <c r="BF112" s="5" t="str">
        <f t="shared" si="162"/>
        <v>х</v>
      </c>
      <c r="BG112" s="5" t="str">
        <f>"1917"</f>
        <v>1917</v>
      </c>
      <c r="BH112" s="5" t="str">
        <f>"77,00"</f>
        <v>77,00</v>
      </c>
      <c r="BI112" s="5" t="str">
        <f>"2019"</f>
        <v>2019</v>
      </c>
      <c r="BJ112" s="5" t="str">
        <f t="shared" si="152"/>
        <v>нет</v>
      </c>
      <c r="BK112" s="5" t="str">
        <f t="shared" si="163"/>
        <v>х</v>
      </c>
      <c r="BL112" s="5" t="str">
        <f t="shared" si="163"/>
        <v>х</v>
      </c>
      <c r="BM112" s="5" t="str">
        <f t="shared" si="163"/>
        <v>х</v>
      </c>
      <c r="BN112" s="5" t="str">
        <f t="shared" si="153"/>
        <v>нет</v>
      </c>
      <c r="BO112" s="5" t="str">
        <f t="shared" si="164"/>
        <v>х</v>
      </c>
      <c r="BP112" s="5" t="str">
        <f t="shared" si="164"/>
        <v>х</v>
      </c>
      <c r="BQ112" s="5" t="str">
        <f t="shared" si="164"/>
        <v>х</v>
      </c>
      <c r="BR112" s="5" t="str">
        <f>"1917"</f>
        <v>1917</v>
      </c>
      <c r="BS112" s="5" t="str">
        <f>"82,00"</f>
        <v>82,00</v>
      </c>
      <c r="BT112" s="5" t="str">
        <f>"2019"</f>
        <v>2019</v>
      </c>
      <c r="BU112" s="5" t="str">
        <f t="shared" si="107"/>
        <v>нет</v>
      </c>
      <c r="BV112" s="5" t="str">
        <f t="shared" si="145"/>
        <v>x</v>
      </c>
      <c r="BW112" s="5" t="str">
        <f t="shared" si="145"/>
        <v>x</v>
      </c>
      <c r="BX112" s="5" t="str">
        <f t="shared" si="145"/>
        <v>x</v>
      </c>
      <c r="BY112" s="5" t="str">
        <f t="shared" si="155"/>
        <v>нет</v>
      </c>
      <c r="BZ112" s="5" t="str">
        <f>"1917"</f>
        <v>1917</v>
      </c>
      <c r="CA112" s="5" t="str">
        <f>"67,00"</f>
        <v>67,00</v>
      </c>
      <c r="CB112" s="5" t="str">
        <f>"2019"</f>
        <v>2019</v>
      </c>
      <c r="CC112" s="5" t="str">
        <f>"1917"</f>
        <v>1917</v>
      </c>
      <c r="CD112" s="5" t="str">
        <f>"67,00"</f>
        <v>67,00</v>
      </c>
      <c r="CE112" s="5" t="str">
        <f>"2019"</f>
        <v>2019</v>
      </c>
      <c r="CF112" s="5" t="str">
        <f>"1917"</f>
        <v>1917</v>
      </c>
      <c r="CG112" s="5" t="str">
        <f>"82,00"</f>
        <v>82,00</v>
      </c>
      <c r="CH112" s="5" t="str">
        <f>"2019"</f>
        <v>2019</v>
      </c>
      <c r="CI112" s="5" t="str">
        <f>"67,00"</f>
        <v>67,00</v>
      </c>
      <c r="CJ112" s="5" t="str">
        <f>"2040"</f>
        <v>2040</v>
      </c>
    </row>
    <row r="113" spans="1:88" ht="11.25" customHeight="1">
      <c r="A113" s="3" t="str">
        <f>"1.100"</f>
        <v>1.100</v>
      </c>
      <c r="B113" s="4" t="str">
        <f>"г. Грязовец, ул. Карла Маркса, д.41"</f>
        <v>г. Грязовец, ул. Карла Маркса, д.41</v>
      </c>
      <c r="C113" s="7" t="str">
        <f>"1832"</f>
        <v>1832</v>
      </c>
      <c r="D113" s="5" t="str">
        <f>"1832"</f>
        <v>1832</v>
      </c>
      <c r="E113" s="5" t="str">
        <f>"59,00"</f>
        <v>59,00</v>
      </c>
      <c r="F113" s="5" t="str">
        <f>"2019"</f>
        <v>2019</v>
      </c>
      <c r="G113" s="5" t="str">
        <f>"нет"</f>
        <v>нет</v>
      </c>
      <c r="H113" s="5" t="str">
        <f>""</f>
        <v/>
      </c>
      <c r="I113" s="5" t="str">
        <f>""</f>
        <v/>
      </c>
      <c r="J113" s="5" t="str">
        <f>""</f>
        <v/>
      </c>
      <c r="K113" s="5" t="str">
        <f>"нет"</f>
        <v>нет</v>
      </c>
      <c r="L113" s="5" t="str">
        <f>""</f>
        <v/>
      </c>
      <c r="M113" s="5" t="str">
        <f>""</f>
        <v/>
      </c>
      <c r="N113" s="5" t="str">
        <f>""</f>
        <v/>
      </c>
      <c r="O113" s="8" t="str">
        <f>"1832"</f>
        <v>1832</v>
      </c>
      <c r="P113" s="5" t="str">
        <f>"64,00"</f>
        <v>64,00</v>
      </c>
      <c r="Q113" s="5" t="str">
        <f>"2019"</f>
        <v>2019</v>
      </c>
      <c r="R113" s="5" t="str">
        <f>"нет"</f>
        <v>нет</v>
      </c>
      <c r="S113" s="5" t="str">
        <f t="shared" si="156"/>
        <v>х</v>
      </c>
      <c r="T113" s="5" t="str">
        <f t="shared" si="156"/>
        <v>х</v>
      </c>
      <c r="U113" s="5" t="str">
        <f t="shared" si="156"/>
        <v>х</v>
      </c>
      <c r="V113" s="5" t="str">
        <f>"нет"</f>
        <v>нет</v>
      </c>
      <c r="W113" s="5" t="str">
        <f t="shared" si="157"/>
        <v>х</v>
      </c>
      <c r="X113" s="5" t="str">
        <f t="shared" si="157"/>
        <v>х</v>
      </c>
      <c r="Y113" s="9" t="str">
        <f t="shared" si="157"/>
        <v>х</v>
      </c>
      <c r="Z113" s="5" t="str">
        <f>"1832"</f>
        <v>1832</v>
      </c>
      <c r="AA113" s="5" t="str">
        <f>"49,00"</f>
        <v>49,00</v>
      </c>
      <c r="AB113" s="5" t="str">
        <f>"2025"</f>
        <v>2025</v>
      </c>
      <c r="AC113" s="5" t="str">
        <f>"нет"</f>
        <v>нет</v>
      </c>
      <c r="AD113" s="5" t="str">
        <f>""</f>
        <v/>
      </c>
      <c r="AE113" s="5" t="str">
        <f>""</f>
        <v/>
      </c>
      <c r="AF113" s="5" t="str">
        <f>""</f>
        <v/>
      </c>
      <c r="AG113" s="5" t="str">
        <f t="shared" si="130"/>
        <v>нет</v>
      </c>
      <c r="AH113" s="5" t="str">
        <f>""</f>
        <v/>
      </c>
      <c r="AI113" s="5" t="str">
        <f>""</f>
        <v/>
      </c>
      <c r="AJ113" s="5" t="str">
        <f>""</f>
        <v/>
      </c>
      <c r="AK113" s="8" t="str">
        <f>"1832"</f>
        <v>1832</v>
      </c>
      <c r="AL113" s="5" t="str">
        <f>"64,00"</f>
        <v>64,00</v>
      </c>
      <c r="AM113" s="5" t="str">
        <f>"2019"</f>
        <v>2019</v>
      </c>
      <c r="AN113" s="5" t="str">
        <f t="shared" si="158"/>
        <v>нет</v>
      </c>
      <c r="AO113" s="5" t="str">
        <f t="shared" si="159"/>
        <v>х</v>
      </c>
      <c r="AP113" s="5" t="str">
        <f t="shared" si="159"/>
        <v>х</v>
      </c>
      <c r="AQ113" s="5" t="str">
        <f t="shared" si="159"/>
        <v>х</v>
      </c>
      <c r="AR113" s="5" t="str">
        <f t="shared" si="154"/>
        <v>нет</v>
      </c>
      <c r="AS113" s="5" t="str">
        <f t="shared" si="160"/>
        <v>х</v>
      </c>
      <c r="AT113" s="5" t="str">
        <f t="shared" si="160"/>
        <v>х</v>
      </c>
      <c r="AU113" s="5" t="str">
        <f t="shared" si="160"/>
        <v>х</v>
      </c>
      <c r="AV113" s="5" t="str">
        <f>"1832"</f>
        <v>1832</v>
      </c>
      <c r="AW113" s="5" t="str">
        <f>"64,00"</f>
        <v>64,00</v>
      </c>
      <c r="AX113" s="5" t="str">
        <f>"2019"</f>
        <v>2019</v>
      </c>
      <c r="AY113" s="5" t="str">
        <f>"нет"</f>
        <v>нет</v>
      </c>
      <c r="AZ113" s="5" t="str">
        <f t="shared" si="161"/>
        <v>х</v>
      </c>
      <c r="BA113" s="5" t="str">
        <f t="shared" si="161"/>
        <v>х</v>
      </c>
      <c r="BB113" s="5" t="str">
        <f t="shared" si="161"/>
        <v>х</v>
      </c>
      <c r="BC113" s="5" t="str">
        <f>"нет"</f>
        <v>нет</v>
      </c>
      <c r="BD113" s="5" t="str">
        <f t="shared" si="162"/>
        <v>х</v>
      </c>
      <c r="BE113" s="5" t="str">
        <f t="shared" si="162"/>
        <v>х</v>
      </c>
      <c r="BF113" s="5" t="str">
        <f t="shared" si="162"/>
        <v>х</v>
      </c>
      <c r="BG113" s="5" t="str">
        <f>"1832"</f>
        <v>1832</v>
      </c>
      <c r="BH113" s="5" t="str">
        <f>"64,00"</f>
        <v>64,00</v>
      </c>
      <c r="BI113" s="5" t="str">
        <f>"2019"</f>
        <v>2019</v>
      </c>
      <c r="BJ113" s="5" t="str">
        <f t="shared" si="152"/>
        <v>нет</v>
      </c>
      <c r="BK113" s="5" t="str">
        <f t="shared" si="163"/>
        <v>х</v>
      </c>
      <c r="BL113" s="5" t="str">
        <f t="shared" si="163"/>
        <v>х</v>
      </c>
      <c r="BM113" s="5" t="str">
        <f t="shared" si="163"/>
        <v>х</v>
      </c>
      <c r="BN113" s="5" t="str">
        <f t="shared" si="153"/>
        <v>нет</v>
      </c>
      <c r="BO113" s="5" t="str">
        <f t="shared" si="164"/>
        <v>х</v>
      </c>
      <c r="BP113" s="5" t="str">
        <f t="shared" si="164"/>
        <v>х</v>
      </c>
      <c r="BQ113" s="5" t="str">
        <f t="shared" si="164"/>
        <v>х</v>
      </c>
      <c r="BR113" s="5" t="str">
        <f>"1832"</f>
        <v>1832</v>
      </c>
      <c r="BS113" s="5" t="str">
        <f>"69,00"</f>
        <v>69,00</v>
      </c>
      <c r="BT113" s="5" t="str">
        <f>"2015"</f>
        <v>2015</v>
      </c>
      <c r="BU113" s="5" t="str">
        <f t="shared" si="107"/>
        <v>нет</v>
      </c>
      <c r="BV113" s="5" t="str">
        <f t="shared" si="145"/>
        <v>x</v>
      </c>
      <c r="BW113" s="5" t="str">
        <f t="shared" si="145"/>
        <v>x</v>
      </c>
      <c r="BX113" s="5" t="str">
        <f t="shared" si="145"/>
        <v>x</v>
      </c>
      <c r="BY113" s="5" t="str">
        <f t="shared" si="155"/>
        <v>нет</v>
      </c>
      <c r="BZ113" s="5" t="str">
        <f>"1832"</f>
        <v>1832</v>
      </c>
      <c r="CA113" s="5" t="str">
        <f>"54,00"</f>
        <v>54,00</v>
      </c>
      <c r="CB113" s="5" t="str">
        <f>"2020"</f>
        <v>2020</v>
      </c>
      <c r="CC113" s="5" t="str">
        <f>"1832"</f>
        <v>1832</v>
      </c>
      <c r="CD113" s="5" t="str">
        <f>"54,00"</f>
        <v>54,00</v>
      </c>
      <c r="CE113" s="5" t="str">
        <f>"2020"</f>
        <v>2020</v>
      </c>
      <c r="CF113" s="5" t="str">
        <f>"1832"</f>
        <v>1832</v>
      </c>
      <c r="CG113" s="5" t="str">
        <f>"69,00"</f>
        <v>69,00</v>
      </c>
      <c r="CH113" s="5" t="str">
        <f>"2019"</f>
        <v>2019</v>
      </c>
      <c r="CI113" s="5" t="str">
        <f>"54,00"</f>
        <v>54,00</v>
      </c>
      <c r="CJ113" s="5" t="str">
        <f>"2041"</f>
        <v>2041</v>
      </c>
    </row>
    <row r="114" spans="1:88" ht="11.25" customHeight="1">
      <c r="A114" s="3" t="str">
        <f>"1.101"</f>
        <v>1.101</v>
      </c>
      <c r="B114" s="4" t="str">
        <f>"г. Грязовец, ул. Карла Маркса, д.45"</f>
        <v>г. Грязовец, ул. Карла Маркса, д.45</v>
      </c>
      <c r="C114" s="7" t="str">
        <f>"2008"</f>
        <v>2008</v>
      </c>
      <c r="D114" s="5" t="str">
        <f>"2008"</f>
        <v>2008</v>
      </c>
      <c r="E114" s="5" t="str">
        <f>"6,00"</f>
        <v>6,00</v>
      </c>
      <c r="F114" s="5" t="str">
        <f>"2030"</f>
        <v>2030</v>
      </c>
      <c r="G114" s="5" t="str">
        <f>"да"</f>
        <v>да</v>
      </c>
      <c r="H114" s="5" t="str">
        <f>""</f>
        <v/>
      </c>
      <c r="I114" s="5" t="str">
        <f>"5,00"</f>
        <v>5,00</v>
      </c>
      <c r="J114" s="5" t="str">
        <f>"2030"</f>
        <v>2030</v>
      </c>
      <c r="K114" s="5" t="str">
        <f>"да"</f>
        <v>да</v>
      </c>
      <c r="L114" s="5" t="str">
        <f>""</f>
        <v/>
      </c>
      <c r="M114" s="5" t="str">
        <f>"5,00"</f>
        <v>5,00</v>
      </c>
      <c r="N114" s="5" t="str">
        <f>"2030"</f>
        <v>2030</v>
      </c>
      <c r="O114" s="8" t="str">
        <f>""</f>
        <v/>
      </c>
      <c r="P114" s="5" t="str">
        <f>""</f>
        <v/>
      </c>
      <c r="Q114" s="5" t="str">
        <f>""</f>
        <v/>
      </c>
      <c r="R114" s="5" t="str">
        <f>""</f>
        <v/>
      </c>
      <c r="S114" s="5" t="str">
        <f>""</f>
        <v/>
      </c>
      <c r="T114" s="5" t="str">
        <f>""</f>
        <v/>
      </c>
      <c r="U114" s="5" t="str">
        <f>""</f>
        <v/>
      </c>
      <c r="V114" s="5" t="str">
        <f>""</f>
        <v/>
      </c>
      <c r="W114" s="5" t="str">
        <f>""</f>
        <v/>
      </c>
      <c r="X114" s="5" t="str">
        <f>""</f>
        <v/>
      </c>
      <c r="Y114" s="9" t="str">
        <f>""</f>
        <v/>
      </c>
      <c r="Z114" s="5" t="str">
        <f>""</f>
        <v/>
      </c>
      <c r="AA114" s="5" t="str">
        <f>"1,00"</f>
        <v>1,00</v>
      </c>
      <c r="AB114" s="5" t="str">
        <f>"2038"</f>
        <v>2038</v>
      </c>
      <c r="AC114" s="5" t="str">
        <f>"нет"</f>
        <v>нет</v>
      </c>
      <c r="AD114" s="5" t="str">
        <f>""</f>
        <v/>
      </c>
      <c r="AE114" s="5" t="str">
        <f>""</f>
        <v/>
      </c>
      <c r="AF114" s="5" t="str">
        <f>""</f>
        <v/>
      </c>
      <c r="AG114" s="5" t="str">
        <f t="shared" si="130"/>
        <v>нет</v>
      </c>
      <c r="AH114" s="5" t="str">
        <f>""</f>
        <v/>
      </c>
      <c r="AI114" s="5" t="str">
        <f>""</f>
        <v/>
      </c>
      <c r="AJ114" s="5" t="str">
        <f>""</f>
        <v/>
      </c>
      <c r="AK114" s="8" t="str">
        <f>""</f>
        <v/>
      </c>
      <c r="AL114" s="5" t="str">
        <f>"1,00"</f>
        <v>1,00</v>
      </c>
      <c r="AM114" s="5" t="str">
        <f>"2037"</f>
        <v>2037</v>
      </c>
      <c r="AN114" s="5" t="str">
        <f t="shared" si="158"/>
        <v>нет</v>
      </c>
      <c r="AO114" s="5" t="str">
        <f>""</f>
        <v/>
      </c>
      <c r="AP114" s="5" t="str">
        <f>""</f>
        <v/>
      </c>
      <c r="AQ114" s="5" t="str">
        <f>""</f>
        <v/>
      </c>
      <c r="AR114" s="5" t="str">
        <f t="shared" si="154"/>
        <v>нет</v>
      </c>
      <c r="AS114" s="5" t="str">
        <f>""</f>
        <v/>
      </c>
      <c r="AT114" s="5" t="str">
        <f>""</f>
        <v/>
      </c>
      <c r="AU114" s="5" t="str">
        <f>""</f>
        <v/>
      </c>
      <c r="AV114" s="5" t="str">
        <f>""</f>
        <v/>
      </c>
      <c r="AW114" s="5" t="str">
        <f>""</f>
        <v/>
      </c>
      <c r="AX114" s="5" t="str">
        <f>""</f>
        <v/>
      </c>
      <c r="AY114" s="5" t="str">
        <f>""</f>
        <v/>
      </c>
      <c r="AZ114" s="5" t="str">
        <f>""</f>
        <v/>
      </c>
      <c r="BA114" s="5" t="str">
        <f>""</f>
        <v/>
      </c>
      <c r="BB114" s="5" t="str">
        <f>""</f>
        <v/>
      </c>
      <c r="BC114" s="5" t="str">
        <f>""</f>
        <v/>
      </c>
      <c r="BD114" s="5" t="str">
        <f>""</f>
        <v/>
      </c>
      <c r="BE114" s="5" t="str">
        <f>""</f>
        <v/>
      </c>
      <c r="BF114" s="5" t="str">
        <f>""</f>
        <v/>
      </c>
      <c r="BG114" s="5" t="str">
        <f>""</f>
        <v/>
      </c>
      <c r="BH114" s="5" t="str">
        <f>"1,00"</f>
        <v>1,00</v>
      </c>
      <c r="BI114" s="5" t="str">
        <f>"2036"</f>
        <v>2036</v>
      </c>
      <c r="BJ114" s="5" t="str">
        <f t="shared" si="152"/>
        <v>нет</v>
      </c>
      <c r="BK114" s="5" t="str">
        <f>""</f>
        <v/>
      </c>
      <c r="BL114" s="5" t="str">
        <f>""</f>
        <v/>
      </c>
      <c r="BM114" s="5" t="str">
        <f>""</f>
        <v/>
      </c>
      <c r="BN114" s="5" t="str">
        <f t="shared" si="153"/>
        <v>нет</v>
      </c>
      <c r="BO114" s="5" t="str">
        <f>""</f>
        <v/>
      </c>
      <c r="BP114" s="5" t="str">
        <f>""</f>
        <v/>
      </c>
      <c r="BQ114" s="5" t="str">
        <f>""</f>
        <v/>
      </c>
      <c r="BR114" s="5" t="str">
        <f>"2008"</f>
        <v>2008</v>
      </c>
      <c r="BS114" s="5" t="str">
        <f>"16,00"</f>
        <v>16,00</v>
      </c>
      <c r="BT114" s="5" t="str">
        <f>"2030"</f>
        <v>2030</v>
      </c>
      <c r="BU114" s="5" t="str">
        <f t="shared" si="107"/>
        <v>нет</v>
      </c>
      <c r="BV114" s="5" t="str">
        <f t="shared" ref="BV114:BX133" si="165">"x"</f>
        <v>x</v>
      </c>
      <c r="BW114" s="5" t="str">
        <f t="shared" si="165"/>
        <v>x</v>
      </c>
      <c r="BX114" s="5" t="str">
        <f t="shared" si="165"/>
        <v>x</v>
      </c>
      <c r="BY114" s="5" t="str">
        <f t="shared" si="155"/>
        <v>нет</v>
      </c>
      <c r="BZ114" s="5" t="str">
        <f>"2008"</f>
        <v>2008</v>
      </c>
      <c r="CA114" s="5" t="str">
        <f>"1,00"</f>
        <v>1,00</v>
      </c>
      <c r="CB114" s="5" t="str">
        <f>"2035"</f>
        <v>2035</v>
      </c>
      <c r="CC114" s="5" t="str">
        <f>"2008"</f>
        <v>2008</v>
      </c>
      <c r="CD114" s="5" t="str">
        <f>"1,00"</f>
        <v>1,00</v>
      </c>
      <c r="CE114" s="5" t="str">
        <f>"2035"</f>
        <v>2035</v>
      </c>
      <c r="CF114" s="5" t="str">
        <f>"2008"</f>
        <v>2008</v>
      </c>
      <c r="CG114" s="5" t="str">
        <f>"16,00"</f>
        <v>16,00</v>
      </c>
      <c r="CH114" s="5" t="str">
        <f>"2030"</f>
        <v>2030</v>
      </c>
      <c r="CI114" s="5" t="str">
        <f>"1,00"</f>
        <v>1,00</v>
      </c>
      <c r="CJ114" s="5" t="str">
        <f>"2044"</f>
        <v>2044</v>
      </c>
    </row>
    <row r="115" spans="1:88" ht="11.25" customHeight="1">
      <c r="A115" s="3" t="str">
        <f>"1.102"</f>
        <v>1.102</v>
      </c>
      <c r="B115" s="4" t="str">
        <f>"г. Грязовец, ул. Карла Маркса, д.46"</f>
        <v>г. Грязовец, ул. Карла Маркса, д.46</v>
      </c>
      <c r="C115" s="7" t="str">
        <f>"1974"</f>
        <v>1974</v>
      </c>
      <c r="D115" s="5" t="str">
        <f>""</f>
        <v/>
      </c>
      <c r="E115" s="5" t="str">
        <f>"30,00"</f>
        <v>30,00</v>
      </c>
      <c r="F115" s="5" t="str">
        <f>"2025"</f>
        <v>2025</v>
      </c>
      <c r="G115" s="5" t="str">
        <f>"нет"</f>
        <v>нет</v>
      </c>
      <c r="H115" s="5" t="str">
        <f>""</f>
        <v/>
      </c>
      <c r="I115" s="5" t="str">
        <f>""</f>
        <v/>
      </c>
      <c r="J115" s="5" t="str">
        <f>""</f>
        <v/>
      </c>
      <c r="K115" s="5" t="str">
        <f>"нет"</f>
        <v>нет</v>
      </c>
      <c r="L115" s="5" t="str">
        <f>""</f>
        <v/>
      </c>
      <c r="M115" s="5" t="str">
        <f>""</f>
        <v/>
      </c>
      <c r="N115" s="5" t="str">
        <f>""</f>
        <v/>
      </c>
      <c r="O115" s="8" t="str">
        <f>""</f>
        <v/>
      </c>
      <c r="P115" s="5" t="str">
        <f>"30,00"</f>
        <v>30,00</v>
      </c>
      <c r="Q115" s="5" t="str">
        <f>"2026"</f>
        <v>2026</v>
      </c>
      <c r="R115" s="5" t="str">
        <f>"нет"</f>
        <v>нет</v>
      </c>
      <c r="S115" s="5" t="str">
        <f>""</f>
        <v/>
      </c>
      <c r="T115" s="5" t="str">
        <f>""</f>
        <v/>
      </c>
      <c r="U115" s="5" t="str">
        <f>""</f>
        <v/>
      </c>
      <c r="V115" s="5" t="str">
        <f>"нет"</f>
        <v>нет</v>
      </c>
      <c r="W115" s="5" t="str">
        <f>""</f>
        <v/>
      </c>
      <c r="X115" s="5" t="str">
        <f>""</f>
        <v/>
      </c>
      <c r="Y115" s="9" t="str">
        <f>""</f>
        <v/>
      </c>
      <c r="Z115" s="5" t="str">
        <f t="shared" ref="Z115:AJ116" si="166">"х"</f>
        <v>х</v>
      </c>
      <c r="AA115" s="5" t="str">
        <f t="shared" si="166"/>
        <v>х</v>
      </c>
      <c r="AB115" s="5" t="str">
        <f t="shared" si="166"/>
        <v>х</v>
      </c>
      <c r="AC115" s="5" t="str">
        <f t="shared" si="166"/>
        <v>х</v>
      </c>
      <c r="AD115" s="5" t="str">
        <f t="shared" si="166"/>
        <v>х</v>
      </c>
      <c r="AE115" s="5" t="str">
        <f t="shared" si="166"/>
        <v>х</v>
      </c>
      <c r="AF115" s="5" t="str">
        <f t="shared" si="166"/>
        <v>х</v>
      </c>
      <c r="AG115" s="5" t="str">
        <f t="shared" si="166"/>
        <v>х</v>
      </c>
      <c r="AH115" s="5" t="str">
        <f t="shared" si="166"/>
        <v>х</v>
      </c>
      <c r="AI115" s="5" t="str">
        <f t="shared" si="166"/>
        <v>х</v>
      </c>
      <c r="AJ115" s="5" t="str">
        <f t="shared" si="166"/>
        <v>х</v>
      </c>
      <c r="AK115" s="8" t="str">
        <f>""</f>
        <v/>
      </c>
      <c r="AL115" s="5" t="str">
        <f>"30,00"</f>
        <v>30,00</v>
      </c>
      <c r="AM115" s="5" t="str">
        <f>"2027"</f>
        <v>2027</v>
      </c>
      <c r="AN115" s="5" t="str">
        <f t="shared" si="158"/>
        <v>нет</v>
      </c>
      <c r="AO115" s="5" t="str">
        <f>""</f>
        <v/>
      </c>
      <c r="AP115" s="5" t="str">
        <f>""</f>
        <v/>
      </c>
      <c r="AQ115" s="5" t="str">
        <f>""</f>
        <v/>
      </c>
      <c r="AR115" s="5" t="str">
        <f t="shared" si="154"/>
        <v>нет</v>
      </c>
      <c r="AS115" s="5" t="str">
        <f>""</f>
        <v/>
      </c>
      <c r="AT115" s="5" t="str">
        <f>""</f>
        <v/>
      </c>
      <c r="AU115" s="5" t="str">
        <f>""</f>
        <v/>
      </c>
      <c r="AV115" s="5" t="str">
        <f>""</f>
        <v/>
      </c>
      <c r="AW115" s="5" t="str">
        <f>"35,00"</f>
        <v>35,00</v>
      </c>
      <c r="AX115" s="5" t="str">
        <f>"2024"</f>
        <v>2024</v>
      </c>
      <c r="AY115" s="5" t="str">
        <f>"нет"</f>
        <v>нет</v>
      </c>
      <c r="AZ115" s="5" t="str">
        <f>""</f>
        <v/>
      </c>
      <c r="BA115" s="5" t="str">
        <f>""</f>
        <v/>
      </c>
      <c r="BB115" s="5" t="str">
        <f>""</f>
        <v/>
      </c>
      <c r="BC115" s="5" t="str">
        <f>"нет"</f>
        <v>нет</v>
      </c>
      <c r="BD115" s="5" t="str">
        <f>""</f>
        <v/>
      </c>
      <c r="BE115" s="5" t="str">
        <f>""</f>
        <v/>
      </c>
      <c r="BF115" s="5" t="str">
        <f>""</f>
        <v/>
      </c>
      <c r="BG115" s="5" t="str">
        <f>""</f>
        <v/>
      </c>
      <c r="BH115" s="5" t="str">
        <f>"30,00"</f>
        <v>30,00</v>
      </c>
      <c r="BI115" s="5" t="str">
        <f>"2028"</f>
        <v>2028</v>
      </c>
      <c r="BJ115" s="5" t="str">
        <f t="shared" si="152"/>
        <v>нет</v>
      </c>
      <c r="BK115" s="5" t="str">
        <f>""</f>
        <v/>
      </c>
      <c r="BL115" s="5" t="str">
        <f>""</f>
        <v/>
      </c>
      <c r="BM115" s="5" t="str">
        <f>""</f>
        <v/>
      </c>
      <c r="BN115" s="5" t="str">
        <f t="shared" si="153"/>
        <v>нет</v>
      </c>
      <c r="BO115" s="5" t="str">
        <f>""</f>
        <v/>
      </c>
      <c r="BP115" s="5" t="str">
        <f>""</f>
        <v/>
      </c>
      <c r="BQ115" s="5" t="str">
        <f>""</f>
        <v/>
      </c>
      <c r="BR115" s="5" t="str">
        <f>""</f>
        <v/>
      </c>
      <c r="BS115" s="5" t="str">
        <f>"35,00"</f>
        <v>35,00</v>
      </c>
      <c r="BT115" s="5" t="str">
        <f>"2022"</f>
        <v>2022</v>
      </c>
      <c r="BU115" s="5" t="str">
        <f t="shared" si="107"/>
        <v>нет</v>
      </c>
      <c r="BV115" s="5" t="str">
        <f t="shared" si="165"/>
        <v>x</v>
      </c>
      <c r="BW115" s="5" t="str">
        <f t="shared" si="165"/>
        <v>x</v>
      </c>
      <c r="BX115" s="5" t="str">
        <f t="shared" si="165"/>
        <v>x</v>
      </c>
      <c r="BY115" s="5" t="str">
        <f t="shared" si="155"/>
        <v>нет</v>
      </c>
      <c r="BZ115" s="5" t="str">
        <f>"x"</f>
        <v>x</v>
      </c>
      <c r="CA115" s="5" t="str">
        <f>"x"</f>
        <v>x</v>
      </c>
      <c r="CB115" s="5" t="str">
        <f>"x"</f>
        <v>x</v>
      </c>
      <c r="CC115" s="5" t="str">
        <f>""</f>
        <v/>
      </c>
      <c r="CD115" s="5" t="str">
        <f>"20,00"</f>
        <v>20,00</v>
      </c>
      <c r="CE115" s="5" t="str">
        <f>"2026"</f>
        <v>2026</v>
      </c>
      <c r="CF115" s="5" t="str">
        <f>""</f>
        <v/>
      </c>
      <c r="CG115" s="5" t="str">
        <f>"18,00"</f>
        <v>18,00</v>
      </c>
      <c r="CH115" s="5" t="str">
        <f>"2028"</f>
        <v>2028</v>
      </c>
      <c r="CI115" s="5" t="str">
        <f>"31,00"</f>
        <v>31,00</v>
      </c>
      <c r="CJ115" s="5" t="str">
        <f>"2043"</f>
        <v>2043</v>
      </c>
    </row>
    <row r="116" spans="1:88" ht="11.25" customHeight="1">
      <c r="A116" s="3" t="str">
        <f>"1.103"</f>
        <v>1.103</v>
      </c>
      <c r="B116" s="4" t="str">
        <f>"г. Грязовец, ул. Карла Маркса, д.4А"</f>
        <v>г. Грязовец, ул. Карла Маркса, д.4А</v>
      </c>
      <c r="C116" s="7" t="str">
        <f>"1985"</f>
        <v>1985</v>
      </c>
      <c r="D116" s="5" t="str">
        <f>"1985"</f>
        <v>1985</v>
      </c>
      <c r="E116" s="5" t="str">
        <f>"17,00"</f>
        <v>17,00</v>
      </c>
      <c r="F116" s="5" t="str">
        <f>"2035"</f>
        <v>2035</v>
      </c>
      <c r="G116" s="5" t="str">
        <f>"да"</f>
        <v>да</v>
      </c>
      <c r="H116" s="5" t="str">
        <f>""</f>
        <v/>
      </c>
      <c r="I116" s="5" t="str">
        <f>"15,00"</f>
        <v>15,00</v>
      </c>
      <c r="J116" s="5" t="str">
        <f>"2035"</f>
        <v>2035</v>
      </c>
      <c r="K116" s="5" t="str">
        <f>"да"</f>
        <v>да</v>
      </c>
      <c r="L116" s="5" t="str">
        <f>""</f>
        <v/>
      </c>
      <c r="M116" s="5" t="str">
        <f>"15,00"</f>
        <v>15,00</v>
      </c>
      <c r="N116" s="5" t="str">
        <f>"2035"</f>
        <v>2035</v>
      </c>
      <c r="O116" s="8" t="str">
        <f t="shared" ref="O116:Y116" si="167">"х"</f>
        <v>х</v>
      </c>
      <c r="P116" s="5" t="str">
        <f t="shared" si="167"/>
        <v>х</v>
      </c>
      <c r="Q116" s="5" t="str">
        <f t="shared" si="167"/>
        <v>х</v>
      </c>
      <c r="R116" s="5" t="str">
        <f t="shared" si="167"/>
        <v>х</v>
      </c>
      <c r="S116" s="5" t="str">
        <f t="shared" si="167"/>
        <v>х</v>
      </c>
      <c r="T116" s="5" t="str">
        <f t="shared" si="167"/>
        <v>х</v>
      </c>
      <c r="U116" s="5" t="str">
        <f t="shared" si="167"/>
        <v>х</v>
      </c>
      <c r="V116" s="5" t="str">
        <f t="shared" si="167"/>
        <v>х</v>
      </c>
      <c r="W116" s="5" t="str">
        <f t="shared" si="167"/>
        <v>х</v>
      </c>
      <c r="X116" s="5" t="str">
        <f t="shared" si="167"/>
        <v>х</v>
      </c>
      <c r="Y116" s="9" t="str">
        <f t="shared" si="167"/>
        <v>х</v>
      </c>
      <c r="Z116" s="5" t="str">
        <f t="shared" si="166"/>
        <v>х</v>
      </c>
      <c r="AA116" s="5" t="str">
        <f t="shared" si="166"/>
        <v>х</v>
      </c>
      <c r="AB116" s="5" t="str">
        <f t="shared" si="166"/>
        <v>х</v>
      </c>
      <c r="AC116" s="5" t="str">
        <f t="shared" si="166"/>
        <v>х</v>
      </c>
      <c r="AD116" s="5" t="str">
        <f t="shared" si="166"/>
        <v>х</v>
      </c>
      <c r="AE116" s="5" t="str">
        <f t="shared" si="166"/>
        <v>х</v>
      </c>
      <c r="AF116" s="5" t="str">
        <f t="shared" si="166"/>
        <v>х</v>
      </c>
      <c r="AG116" s="5" t="str">
        <f t="shared" si="166"/>
        <v>х</v>
      </c>
      <c r="AH116" s="5" t="str">
        <f t="shared" si="166"/>
        <v>х</v>
      </c>
      <c r="AI116" s="5" t="str">
        <f t="shared" si="166"/>
        <v>х</v>
      </c>
      <c r="AJ116" s="5" t="str">
        <f t="shared" si="166"/>
        <v>х</v>
      </c>
      <c r="AK116" s="8" t="str">
        <f t="shared" ref="AK116:BQ116" si="168">"х"</f>
        <v>х</v>
      </c>
      <c r="AL116" s="5" t="str">
        <f t="shared" si="168"/>
        <v>х</v>
      </c>
      <c r="AM116" s="5" t="str">
        <f t="shared" si="168"/>
        <v>х</v>
      </c>
      <c r="AN116" s="5" t="str">
        <f t="shared" si="168"/>
        <v>х</v>
      </c>
      <c r="AO116" s="5" t="str">
        <f t="shared" si="168"/>
        <v>х</v>
      </c>
      <c r="AP116" s="5" t="str">
        <f t="shared" si="168"/>
        <v>х</v>
      </c>
      <c r="AQ116" s="5" t="str">
        <f t="shared" si="168"/>
        <v>х</v>
      </c>
      <c r="AR116" s="5" t="str">
        <f t="shared" si="168"/>
        <v>х</v>
      </c>
      <c r="AS116" s="5" t="str">
        <f t="shared" si="168"/>
        <v>х</v>
      </c>
      <c r="AT116" s="5" t="str">
        <f t="shared" si="168"/>
        <v>х</v>
      </c>
      <c r="AU116" s="5" t="str">
        <f t="shared" si="168"/>
        <v>х</v>
      </c>
      <c r="AV116" s="5" t="str">
        <f t="shared" si="168"/>
        <v>х</v>
      </c>
      <c r="AW116" s="5" t="str">
        <f t="shared" si="168"/>
        <v>х</v>
      </c>
      <c r="AX116" s="5" t="str">
        <f t="shared" si="168"/>
        <v>х</v>
      </c>
      <c r="AY116" s="5" t="str">
        <f t="shared" si="168"/>
        <v>х</v>
      </c>
      <c r="AZ116" s="5" t="str">
        <f t="shared" si="168"/>
        <v>х</v>
      </c>
      <c r="BA116" s="5" t="str">
        <f t="shared" si="168"/>
        <v>х</v>
      </c>
      <c r="BB116" s="5" t="str">
        <f t="shared" si="168"/>
        <v>х</v>
      </c>
      <c r="BC116" s="5" t="str">
        <f t="shared" si="168"/>
        <v>х</v>
      </c>
      <c r="BD116" s="5" t="str">
        <f t="shared" si="168"/>
        <v>х</v>
      </c>
      <c r="BE116" s="5" t="str">
        <f t="shared" si="168"/>
        <v>х</v>
      </c>
      <c r="BF116" s="5" t="str">
        <f t="shared" si="168"/>
        <v>х</v>
      </c>
      <c r="BG116" s="5" t="str">
        <f t="shared" si="168"/>
        <v>х</v>
      </c>
      <c r="BH116" s="5" t="str">
        <f t="shared" si="168"/>
        <v>х</v>
      </c>
      <c r="BI116" s="5" t="str">
        <f t="shared" si="168"/>
        <v>х</v>
      </c>
      <c r="BJ116" s="5" t="str">
        <f t="shared" si="168"/>
        <v>х</v>
      </c>
      <c r="BK116" s="5" t="str">
        <f t="shared" si="168"/>
        <v>х</v>
      </c>
      <c r="BL116" s="5" t="str">
        <f t="shared" si="168"/>
        <v>х</v>
      </c>
      <c r="BM116" s="5" t="str">
        <f t="shared" si="168"/>
        <v>х</v>
      </c>
      <c r="BN116" s="5" t="str">
        <f t="shared" si="168"/>
        <v>х</v>
      </c>
      <c r="BO116" s="5" t="str">
        <f t="shared" si="168"/>
        <v>х</v>
      </c>
      <c r="BP116" s="5" t="str">
        <f t="shared" si="168"/>
        <v>х</v>
      </c>
      <c r="BQ116" s="5" t="str">
        <f t="shared" si="168"/>
        <v>х</v>
      </c>
      <c r="BR116" s="5" t="str">
        <f>"1985"</f>
        <v>1985</v>
      </c>
      <c r="BS116" s="5" t="str">
        <f>"27,00"</f>
        <v>27,00</v>
      </c>
      <c r="BT116" s="5" t="str">
        <f>"2030"</f>
        <v>2030</v>
      </c>
      <c r="BU116" s="5" t="str">
        <f t="shared" si="107"/>
        <v>нет</v>
      </c>
      <c r="BV116" s="5" t="str">
        <f t="shared" si="165"/>
        <v>x</v>
      </c>
      <c r="BW116" s="5" t="str">
        <f t="shared" si="165"/>
        <v>x</v>
      </c>
      <c r="BX116" s="5" t="str">
        <f t="shared" si="165"/>
        <v>x</v>
      </c>
      <c r="BY116" s="5" t="str">
        <f t="shared" si="155"/>
        <v>нет</v>
      </c>
      <c r="BZ116" s="5" t="str">
        <f>"1985"</f>
        <v>1985</v>
      </c>
      <c r="CA116" s="5" t="str">
        <f>"12,00"</f>
        <v>12,00</v>
      </c>
      <c r="CB116" s="5" t="str">
        <f>"2035"</f>
        <v>2035</v>
      </c>
      <c r="CC116" s="5" t="str">
        <f>"1985"</f>
        <v>1985</v>
      </c>
      <c r="CD116" s="5" t="str">
        <f>"12,00"</f>
        <v>12,00</v>
      </c>
      <c r="CE116" s="5" t="str">
        <f>"2035"</f>
        <v>2035</v>
      </c>
      <c r="CF116" s="5" t="str">
        <f>"1985"</f>
        <v>1985</v>
      </c>
      <c r="CG116" s="5" t="str">
        <f>"27,00"</f>
        <v>27,00</v>
      </c>
      <c r="CH116" s="5" t="str">
        <f>"2035"</f>
        <v>2035</v>
      </c>
      <c r="CI116" s="5" t="str">
        <f>"12,00"</f>
        <v>12,00</v>
      </c>
      <c r="CJ116" s="5" t="str">
        <f>"2043"</f>
        <v>2043</v>
      </c>
    </row>
    <row r="117" spans="1:88" ht="11.25" customHeight="1">
      <c r="A117" s="3" t="str">
        <f>"1.104"</f>
        <v>1.104</v>
      </c>
      <c r="B117" s="4" t="str">
        <f>"г. Грязовец, ул. Карла Маркса, д.56"</f>
        <v>г. Грязовец, ул. Карла Маркса, д.56</v>
      </c>
      <c r="C117" s="7" t="str">
        <f>"1917"</f>
        <v>1917</v>
      </c>
      <c r="D117" s="5" t="str">
        <f>"1917"</f>
        <v>1917</v>
      </c>
      <c r="E117" s="5" t="str">
        <f>"61,00"</f>
        <v>61,00</v>
      </c>
      <c r="F117" s="5" t="str">
        <f>"2019"</f>
        <v>2019</v>
      </c>
      <c r="G117" s="5" t="str">
        <f>"да"</f>
        <v>да</v>
      </c>
      <c r="H117" s="5" t="str">
        <f>""</f>
        <v/>
      </c>
      <c r="I117" s="5" t="str">
        <f>"55,00"</f>
        <v>55,00</v>
      </c>
      <c r="J117" s="5" t="str">
        <f>"2019"</f>
        <v>2019</v>
      </c>
      <c r="K117" s="5" t="str">
        <f>"да"</f>
        <v>да</v>
      </c>
      <c r="L117" s="5" t="str">
        <f>""</f>
        <v/>
      </c>
      <c r="M117" s="5" t="str">
        <f>"55,00"</f>
        <v>55,00</v>
      </c>
      <c r="N117" s="5" t="str">
        <f>"2019"</f>
        <v>2019</v>
      </c>
      <c r="O117" s="8" t="str">
        <f>"1917"</f>
        <v>1917</v>
      </c>
      <c r="P117" s="5" t="str">
        <f>"66,00"</f>
        <v>66,00</v>
      </c>
      <c r="Q117" s="5" t="str">
        <f>"2019"</f>
        <v>2019</v>
      </c>
      <c r="R117" s="5" t="str">
        <f>"нет"</f>
        <v>нет</v>
      </c>
      <c r="S117" s="5" t="str">
        <f t="shared" ref="S117:U125" si="169">"х"</f>
        <v>х</v>
      </c>
      <c r="T117" s="5" t="str">
        <f t="shared" si="169"/>
        <v>х</v>
      </c>
      <c r="U117" s="5" t="str">
        <f t="shared" si="169"/>
        <v>х</v>
      </c>
      <c r="V117" s="5" t="str">
        <f>"нет"</f>
        <v>нет</v>
      </c>
      <c r="W117" s="5" t="str">
        <f t="shared" ref="W117:Y125" si="170">"х"</f>
        <v>х</v>
      </c>
      <c r="X117" s="5" t="str">
        <f t="shared" si="170"/>
        <v>х</v>
      </c>
      <c r="Y117" s="9" t="str">
        <f t="shared" si="170"/>
        <v>х</v>
      </c>
      <c r="Z117" s="5" t="str">
        <f>"1917"</f>
        <v>1917</v>
      </c>
      <c r="AA117" s="5" t="str">
        <f>"51,00"</f>
        <v>51,00</v>
      </c>
      <c r="AB117" s="5" t="str">
        <f>"2020"</f>
        <v>2020</v>
      </c>
      <c r="AC117" s="5" t="str">
        <f>"нет"</f>
        <v>нет</v>
      </c>
      <c r="AD117" s="5" t="str">
        <f>""</f>
        <v/>
      </c>
      <c r="AE117" s="5" t="str">
        <f>""</f>
        <v/>
      </c>
      <c r="AF117" s="5" t="str">
        <f>""</f>
        <v/>
      </c>
      <c r="AG117" s="5" t="str">
        <f>"нет"</f>
        <v>нет</v>
      </c>
      <c r="AH117" s="5" t="str">
        <f>""</f>
        <v/>
      </c>
      <c r="AI117" s="5" t="str">
        <f>""</f>
        <v/>
      </c>
      <c r="AJ117" s="5" t="str">
        <f>""</f>
        <v/>
      </c>
      <c r="AK117" s="8" t="str">
        <f>"1917"</f>
        <v>1917</v>
      </c>
      <c r="AL117" s="5" t="str">
        <f>"66,00"</f>
        <v>66,00</v>
      </c>
      <c r="AM117" s="5" t="str">
        <f>"2019"</f>
        <v>2019</v>
      </c>
      <c r="AN117" s="5" t="str">
        <f>"нет"</f>
        <v>нет</v>
      </c>
      <c r="AO117" s="5" t="str">
        <f t="shared" ref="AO117:AQ125" si="171">"х"</f>
        <v>х</v>
      </c>
      <c r="AP117" s="5" t="str">
        <f t="shared" si="171"/>
        <v>х</v>
      </c>
      <c r="AQ117" s="5" t="str">
        <f t="shared" si="171"/>
        <v>х</v>
      </c>
      <c r="AR117" s="5" t="str">
        <f>"нет"</f>
        <v>нет</v>
      </c>
      <c r="AS117" s="5" t="str">
        <f t="shared" ref="AS117:AU125" si="172">"х"</f>
        <v>х</v>
      </c>
      <c r="AT117" s="5" t="str">
        <f t="shared" si="172"/>
        <v>х</v>
      </c>
      <c r="AU117" s="5" t="str">
        <f t="shared" si="172"/>
        <v>х</v>
      </c>
      <c r="AV117" s="5" t="str">
        <f>"1917"</f>
        <v>1917</v>
      </c>
      <c r="AW117" s="5" t="str">
        <f>"66,00"</f>
        <v>66,00</v>
      </c>
      <c r="AX117" s="5" t="str">
        <f>"2019"</f>
        <v>2019</v>
      </c>
      <c r="AY117" s="5" t="str">
        <f>"нет"</f>
        <v>нет</v>
      </c>
      <c r="AZ117" s="5" t="str">
        <f t="shared" ref="AZ117:BB129" si="173">"х"</f>
        <v>х</v>
      </c>
      <c r="BA117" s="5" t="str">
        <f t="shared" si="173"/>
        <v>х</v>
      </c>
      <c r="BB117" s="5" t="str">
        <f t="shared" si="173"/>
        <v>х</v>
      </c>
      <c r="BC117" s="5" t="str">
        <f>"нет"</f>
        <v>нет</v>
      </c>
      <c r="BD117" s="5" t="str">
        <f t="shared" ref="BD117:BF129" si="174">"х"</f>
        <v>х</v>
      </c>
      <c r="BE117" s="5" t="str">
        <f t="shared" si="174"/>
        <v>х</v>
      </c>
      <c r="BF117" s="5" t="str">
        <f t="shared" si="174"/>
        <v>х</v>
      </c>
      <c r="BG117" s="5" t="str">
        <f>"1917"</f>
        <v>1917</v>
      </c>
      <c r="BH117" s="5" t="str">
        <f>"66,00"</f>
        <v>66,00</v>
      </c>
      <c r="BI117" s="5" t="str">
        <f>"2019"</f>
        <v>2019</v>
      </c>
      <c r="BJ117" s="5" t="str">
        <f>"нет"</f>
        <v>нет</v>
      </c>
      <c r="BK117" s="5" t="str">
        <f t="shared" ref="BK117:BM129" si="175">"х"</f>
        <v>х</v>
      </c>
      <c r="BL117" s="5" t="str">
        <f t="shared" si="175"/>
        <v>х</v>
      </c>
      <c r="BM117" s="5" t="str">
        <f t="shared" si="175"/>
        <v>х</v>
      </c>
      <c r="BN117" s="5" t="str">
        <f>"нет"</f>
        <v>нет</v>
      </c>
      <c r="BO117" s="5" t="str">
        <f t="shared" ref="BO117:BQ129" si="176">"х"</f>
        <v>х</v>
      </c>
      <c r="BP117" s="5" t="str">
        <f t="shared" si="176"/>
        <v>х</v>
      </c>
      <c r="BQ117" s="5" t="str">
        <f t="shared" si="176"/>
        <v>х</v>
      </c>
      <c r="BR117" s="5" t="str">
        <f>"1917"</f>
        <v>1917</v>
      </c>
      <c r="BS117" s="5" t="str">
        <f>"71,00"</f>
        <v>71,00</v>
      </c>
      <c r="BT117" s="5" t="str">
        <f>"2019"</f>
        <v>2019</v>
      </c>
      <c r="BU117" s="5" t="str">
        <f t="shared" si="107"/>
        <v>нет</v>
      </c>
      <c r="BV117" s="5" t="str">
        <f t="shared" si="165"/>
        <v>x</v>
      </c>
      <c r="BW117" s="5" t="str">
        <f t="shared" si="165"/>
        <v>x</v>
      </c>
      <c r="BX117" s="5" t="str">
        <f t="shared" si="165"/>
        <v>x</v>
      </c>
      <c r="BY117" s="5" t="str">
        <f t="shared" si="155"/>
        <v>нет</v>
      </c>
      <c r="BZ117" s="5" t="str">
        <f>"1917"</f>
        <v>1917</v>
      </c>
      <c r="CA117" s="5" t="str">
        <f>"56,00"</f>
        <v>56,00</v>
      </c>
      <c r="CB117" s="5" t="str">
        <f>"2020"</f>
        <v>2020</v>
      </c>
      <c r="CC117" s="5" t="str">
        <f>"1917"</f>
        <v>1917</v>
      </c>
      <c r="CD117" s="5" t="str">
        <f>"56,00"</f>
        <v>56,00</v>
      </c>
      <c r="CE117" s="5" t="str">
        <f>"2020"</f>
        <v>2020</v>
      </c>
      <c r="CF117" s="5" t="str">
        <f>"1917"</f>
        <v>1917</v>
      </c>
      <c r="CG117" s="5" t="str">
        <f>"71,00"</f>
        <v>71,00</v>
      </c>
      <c r="CH117" s="5" t="str">
        <f>"2019"</f>
        <v>2019</v>
      </c>
      <c r="CI117" s="5" t="str">
        <f>"56,00"</f>
        <v>56,00</v>
      </c>
      <c r="CJ117" s="5" t="str">
        <f>"2042"</f>
        <v>2042</v>
      </c>
    </row>
    <row r="118" spans="1:88" ht="11.25" customHeight="1">
      <c r="A118" s="3" t="str">
        <f>"1.105"</f>
        <v>1.105</v>
      </c>
      <c r="B118" s="4" t="str">
        <f>"г. Грязовец, ул. Карла Маркса, д.74"</f>
        <v>г. Грязовец, ул. Карла Маркса, д.74</v>
      </c>
      <c r="C118" s="7" t="str">
        <f>"1955"</f>
        <v>1955</v>
      </c>
      <c r="D118" s="5" t="str">
        <f>"1955"</f>
        <v>1955</v>
      </c>
      <c r="E118" s="5" t="str">
        <f>"43,00"</f>
        <v>43,00</v>
      </c>
      <c r="F118" s="5" t="str">
        <f>"2025"</f>
        <v>2025</v>
      </c>
      <c r="G118" s="5" t="str">
        <f>"да"</f>
        <v>да</v>
      </c>
      <c r="H118" s="5" t="str">
        <f>""</f>
        <v/>
      </c>
      <c r="I118" s="5" t="str">
        <f>"35,00"</f>
        <v>35,00</v>
      </c>
      <c r="J118" s="5" t="str">
        <f>"2025"</f>
        <v>2025</v>
      </c>
      <c r="K118" s="5" t="str">
        <f>"да"</f>
        <v>да</v>
      </c>
      <c r="L118" s="5" t="str">
        <f>""</f>
        <v/>
      </c>
      <c r="M118" s="5" t="str">
        <f>"35,00"</f>
        <v>35,00</v>
      </c>
      <c r="N118" s="5" t="str">
        <f>"2025"</f>
        <v>2025</v>
      </c>
      <c r="O118" s="8" t="str">
        <f t="shared" ref="O118:R121" si="177">"х"</f>
        <v>х</v>
      </c>
      <c r="P118" s="5" t="str">
        <f t="shared" si="177"/>
        <v>х</v>
      </c>
      <c r="Q118" s="5" t="str">
        <f t="shared" si="177"/>
        <v>х</v>
      </c>
      <c r="R118" s="5" t="str">
        <f t="shared" si="177"/>
        <v>х</v>
      </c>
      <c r="S118" s="5" t="str">
        <f t="shared" si="169"/>
        <v>х</v>
      </c>
      <c r="T118" s="5" t="str">
        <f t="shared" si="169"/>
        <v>х</v>
      </c>
      <c r="U118" s="5" t="str">
        <f t="shared" si="169"/>
        <v>х</v>
      </c>
      <c r="V118" s="5" t="str">
        <f>"х"</f>
        <v>х</v>
      </c>
      <c r="W118" s="5" t="str">
        <f t="shared" si="170"/>
        <v>х</v>
      </c>
      <c r="X118" s="5" t="str">
        <f t="shared" si="170"/>
        <v>х</v>
      </c>
      <c r="Y118" s="9" t="str">
        <f t="shared" si="170"/>
        <v>х</v>
      </c>
      <c r="Z118" s="5" t="str">
        <f t="shared" ref="Z118:AN121" si="178">"х"</f>
        <v>х</v>
      </c>
      <c r="AA118" s="5" t="str">
        <f t="shared" si="178"/>
        <v>х</v>
      </c>
      <c r="AB118" s="5" t="str">
        <f t="shared" si="178"/>
        <v>х</v>
      </c>
      <c r="AC118" s="5" t="str">
        <f t="shared" si="178"/>
        <v>х</v>
      </c>
      <c r="AD118" s="5" t="str">
        <f t="shared" si="178"/>
        <v>х</v>
      </c>
      <c r="AE118" s="5" t="str">
        <f t="shared" si="178"/>
        <v>х</v>
      </c>
      <c r="AF118" s="5" t="str">
        <f t="shared" si="178"/>
        <v>х</v>
      </c>
      <c r="AG118" s="5" t="str">
        <f t="shared" si="178"/>
        <v>х</v>
      </c>
      <c r="AH118" s="5" t="str">
        <f t="shared" si="178"/>
        <v>х</v>
      </c>
      <c r="AI118" s="5" t="str">
        <f t="shared" si="178"/>
        <v>х</v>
      </c>
      <c r="AJ118" s="5" t="str">
        <f t="shared" si="178"/>
        <v>х</v>
      </c>
      <c r="AK118" s="8" t="str">
        <f t="shared" si="178"/>
        <v>х</v>
      </c>
      <c r="AL118" s="5" t="str">
        <f t="shared" si="178"/>
        <v>х</v>
      </c>
      <c r="AM118" s="5" t="str">
        <f t="shared" si="178"/>
        <v>х</v>
      </c>
      <c r="AN118" s="5" t="str">
        <f t="shared" si="178"/>
        <v>х</v>
      </c>
      <c r="AO118" s="5" t="str">
        <f t="shared" si="171"/>
        <v>х</v>
      </c>
      <c r="AP118" s="5" t="str">
        <f t="shared" si="171"/>
        <v>х</v>
      </c>
      <c r="AQ118" s="5" t="str">
        <f t="shared" si="171"/>
        <v>х</v>
      </c>
      <c r="AR118" s="5" t="str">
        <f>"х"</f>
        <v>х</v>
      </c>
      <c r="AS118" s="5" t="str">
        <f t="shared" si="172"/>
        <v>х</v>
      </c>
      <c r="AT118" s="5" t="str">
        <f t="shared" si="172"/>
        <v>х</v>
      </c>
      <c r="AU118" s="5" t="str">
        <f t="shared" si="172"/>
        <v>х</v>
      </c>
      <c r="AV118" s="5" t="str">
        <f t="shared" ref="AV118:AY121" si="179">"х"</f>
        <v>х</v>
      </c>
      <c r="AW118" s="5" t="str">
        <f t="shared" si="179"/>
        <v>х</v>
      </c>
      <c r="AX118" s="5" t="str">
        <f t="shared" si="179"/>
        <v>х</v>
      </c>
      <c r="AY118" s="5" t="str">
        <f t="shared" si="179"/>
        <v>х</v>
      </c>
      <c r="AZ118" s="5" t="str">
        <f t="shared" si="173"/>
        <v>х</v>
      </c>
      <c r="BA118" s="5" t="str">
        <f t="shared" si="173"/>
        <v>х</v>
      </c>
      <c r="BB118" s="5" t="str">
        <f t="shared" si="173"/>
        <v>х</v>
      </c>
      <c r="BC118" s="5" t="str">
        <f>"х"</f>
        <v>х</v>
      </c>
      <c r="BD118" s="5" t="str">
        <f t="shared" si="174"/>
        <v>х</v>
      </c>
      <c r="BE118" s="5" t="str">
        <f t="shared" si="174"/>
        <v>х</v>
      </c>
      <c r="BF118" s="5" t="str">
        <f t="shared" si="174"/>
        <v>х</v>
      </c>
      <c r="BG118" s="5" t="str">
        <f t="shared" ref="BG118:BJ121" si="180">"х"</f>
        <v>х</v>
      </c>
      <c r="BH118" s="5" t="str">
        <f t="shared" si="180"/>
        <v>х</v>
      </c>
      <c r="BI118" s="5" t="str">
        <f t="shared" si="180"/>
        <v>х</v>
      </c>
      <c r="BJ118" s="5" t="str">
        <f t="shared" si="180"/>
        <v>х</v>
      </c>
      <c r="BK118" s="5" t="str">
        <f t="shared" si="175"/>
        <v>х</v>
      </c>
      <c r="BL118" s="5" t="str">
        <f t="shared" si="175"/>
        <v>х</v>
      </c>
      <c r="BM118" s="5" t="str">
        <f t="shared" si="175"/>
        <v>х</v>
      </c>
      <c r="BN118" s="5" t="str">
        <f>"х"</f>
        <v>х</v>
      </c>
      <c r="BO118" s="5" t="str">
        <f t="shared" si="176"/>
        <v>х</v>
      </c>
      <c r="BP118" s="5" t="str">
        <f t="shared" si="176"/>
        <v>х</v>
      </c>
      <c r="BQ118" s="5" t="str">
        <f t="shared" si="176"/>
        <v>х</v>
      </c>
      <c r="BR118" s="5" t="str">
        <f>"1955"</f>
        <v>1955</v>
      </c>
      <c r="BS118" s="5" t="str">
        <f>"53,00"</f>
        <v>53,00</v>
      </c>
      <c r="BT118" s="5" t="str">
        <f>"2018"</f>
        <v>2018</v>
      </c>
      <c r="BU118" s="5" t="str">
        <f t="shared" si="107"/>
        <v>нет</v>
      </c>
      <c r="BV118" s="5" t="str">
        <f t="shared" si="165"/>
        <v>x</v>
      </c>
      <c r="BW118" s="5" t="str">
        <f t="shared" si="165"/>
        <v>x</v>
      </c>
      <c r="BX118" s="5" t="str">
        <f t="shared" si="165"/>
        <v>x</v>
      </c>
      <c r="BY118" s="5" t="str">
        <f t="shared" si="155"/>
        <v>нет</v>
      </c>
      <c r="BZ118" s="5" t="str">
        <f>"1955"</f>
        <v>1955</v>
      </c>
      <c r="CA118" s="5" t="str">
        <f>"38,00"</f>
        <v>38,00</v>
      </c>
      <c r="CB118" s="5" t="str">
        <f>"2025"</f>
        <v>2025</v>
      </c>
      <c r="CC118" s="5" t="str">
        <f>"1955"</f>
        <v>1955</v>
      </c>
      <c r="CD118" s="5" t="str">
        <f>"38,00"</f>
        <v>38,00</v>
      </c>
      <c r="CE118" s="5" t="str">
        <f>"2025"</f>
        <v>2025</v>
      </c>
      <c r="CF118" s="5" t="str">
        <f>"1955"</f>
        <v>1955</v>
      </c>
      <c r="CG118" s="5" t="str">
        <f>"53,00"</f>
        <v>53,00</v>
      </c>
      <c r="CH118" s="5" t="str">
        <f>"2020"</f>
        <v>2020</v>
      </c>
      <c r="CI118" s="5" t="str">
        <f>"38,00"</f>
        <v>38,00</v>
      </c>
      <c r="CJ118" s="5" t="str">
        <f>"2041"</f>
        <v>2041</v>
      </c>
    </row>
    <row r="119" spans="1:88" ht="11.25" customHeight="1">
      <c r="A119" s="3" t="str">
        <f>"1.106"</f>
        <v>1.106</v>
      </c>
      <c r="B119" s="4" t="str">
        <f>"г. Грязовец, ул. Карла Маркса, д.75"</f>
        <v>г. Грязовец, ул. Карла Маркса, д.75</v>
      </c>
      <c r="C119" s="7" t="str">
        <f>"1894"</f>
        <v>1894</v>
      </c>
      <c r="D119" s="5" t="str">
        <f>"1894"</f>
        <v>1894</v>
      </c>
      <c r="E119" s="5" t="str">
        <f>"61,00"</f>
        <v>61,00</v>
      </c>
      <c r="F119" s="5" t="str">
        <f>"2019"</f>
        <v>2019</v>
      </c>
      <c r="G119" s="5" t="str">
        <f>"нет"</f>
        <v>нет</v>
      </c>
      <c r="H119" s="5" t="str">
        <f>""</f>
        <v/>
      </c>
      <c r="I119" s="5" t="str">
        <f>""</f>
        <v/>
      </c>
      <c r="J119" s="5" t="str">
        <f>""</f>
        <v/>
      </c>
      <c r="K119" s="5" t="str">
        <f>"нет"</f>
        <v>нет</v>
      </c>
      <c r="L119" s="5" t="str">
        <f>""</f>
        <v/>
      </c>
      <c r="M119" s="5" t="str">
        <f>""</f>
        <v/>
      </c>
      <c r="N119" s="5" t="str">
        <f>""</f>
        <v/>
      </c>
      <c r="O119" s="8" t="str">
        <f t="shared" si="177"/>
        <v>х</v>
      </c>
      <c r="P119" s="5" t="str">
        <f t="shared" si="177"/>
        <v>х</v>
      </c>
      <c r="Q119" s="5" t="str">
        <f t="shared" si="177"/>
        <v>х</v>
      </c>
      <c r="R119" s="5" t="str">
        <f t="shared" si="177"/>
        <v>х</v>
      </c>
      <c r="S119" s="5" t="str">
        <f t="shared" si="169"/>
        <v>х</v>
      </c>
      <c r="T119" s="5" t="str">
        <f t="shared" si="169"/>
        <v>х</v>
      </c>
      <c r="U119" s="5" t="str">
        <f t="shared" si="169"/>
        <v>х</v>
      </c>
      <c r="V119" s="5" t="str">
        <f>"х"</f>
        <v>х</v>
      </c>
      <c r="W119" s="5" t="str">
        <f t="shared" si="170"/>
        <v>х</v>
      </c>
      <c r="X119" s="5" t="str">
        <f t="shared" si="170"/>
        <v>х</v>
      </c>
      <c r="Y119" s="9" t="str">
        <f t="shared" si="170"/>
        <v>х</v>
      </c>
      <c r="Z119" s="5" t="str">
        <f t="shared" si="178"/>
        <v>х</v>
      </c>
      <c r="AA119" s="5" t="str">
        <f t="shared" si="178"/>
        <v>х</v>
      </c>
      <c r="AB119" s="5" t="str">
        <f t="shared" si="178"/>
        <v>х</v>
      </c>
      <c r="AC119" s="5" t="str">
        <f t="shared" si="178"/>
        <v>х</v>
      </c>
      <c r="AD119" s="5" t="str">
        <f t="shared" si="178"/>
        <v>х</v>
      </c>
      <c r="AE119" s="5" t="str">
        <f t="shared" si="178"/>
        <v>х</v>
      </c>
      <c r="AF119" s="5" t="str">
        <f t="shared" si="178"/>
        <v>х</v>
      </c>
      <c r="AG119" s="5" t="str">
        <f t="shared" si="178"/>
        <v>х</v>
      </c>
      <c r="AH119" s="5" t="str">
        <f t="shared" si="178"/>
        <v>х</v>
      </c>
      <c r="AI119" s="5" t="str">
        <f t="shared" si="178"/>
        <v>х</v>
      </c>
      <c r="AJ119" s="5" t="str">
        <f t="shared" si="178"/>
        <v>х</v>
      </c>
      <c r="AK119" s="8" t="str">
        <f t="shared" si="178"/>
        <v>х</v>
      </c>
      <c r="AL119" s="5" t="str">
        <f t="shared" si="178"/>
        <v>х</v>
      </c>
      <c r="AM119" s="5" t="str">
        <f t="shared" si="178"/>
        <v>х</v>
      </c>
      <c r="AN119" s="5" t="str">
        <f t="shared" si="178"/>
        <v>х</v>
      </c>
      <c r="AO119" s="5" t="str">
        <f t="shared" si="171"/>
        <v>х</v>
      </c>
      <c r="AP119" s="5" t="str">
        <f t="shared" si="171"/>
        <v>х</v>
      </c>
      <c r="AQ119" s="5" t="str">
        <f t="shared" si="171"/>
        <v>х</v>
      </c>
      <c r="AR119" s="5" t="str">
        <f>"х"</f>
        <v>х</v>
      </c>
      <c r="AS119" s="5" t="str">
        <f t="shared" si="172"/>
        <v>х</v>
      </c>
      <c r="AT119" s="5" t="str">
        <f t="shared" si="172"/>
        <v>х</v>
      </c>
      <c r="AU119" s="5" t="str">
        <f t="shared" si="172"/>
        <v>х</v>
      </c>
      <c r="AV119" s="5" t="str">
        <f t="shared" si="179"/>
        <v>х</v>
      </c>
      <c r="AW119" s="5" t="str">
        <f t="shared" si="179"/>
        <v>х</v>
      </c>
      <c r="AX119" s="5" t="str">
        <f t="shared" si="179"/>
        <v>х</v>
      </c>
      <c r="AY119" s="5" t="str">
        <f t="shared" si="179"/>
        <v>х</v>
      </c>
      <c r="AZ119" s="5" t="str">
        <f t="shared" si="173"/>
        <v>х</v>
      </c>
      <c r="BA119" s="5" t="str">
        <f t="shared" si="173"/>
        <v>х</v>
      </c>
      <c r="BB119" s="5" t="str">
        <f t="shared" si="173"/>
        <v>х</v>
      </c>
      <c r="BC119" s="5" t="str">
        <f>"х"</f>
        <v>х</v>
      </c>
      <c r="BD119" s="5" t="str">
        <f t="shared" si="174"/>
        <v>х</v>
      </c>
      <c r="BE119" s="5" t="str">
        <f t="shared" si="174"/>
        <v>х</v>
      </c>
      <c r="BF119" s="5" t="str">
        <f t="shared" si="174"/>
        <v>х</v>
      </c>
      <c r="BG119" s="5" t="str">
        <f t="shared" si="180"/>
        <v>х</v>
      </c>
      <c r="BH119" s="5" t="str">
        <f t="shared" si="180"/>
        <v>х</v>
      </c>
      <c r="BI119" s="5" t="str">
        <f t="shared" si="180"/>
        <v>х</v>
      </c>
      <c r="BJ119" s="5" t="str">
        <f t="shared" si="180"/>
        <v>х</v>
      </c>
      <c r="BK119" s="5" t="str">
        <f t="shared" si="175"/>
        <v>х</v>
      </c>
      <c r="BL119" s="5" t="str">
        <f t="shared" si="175"/>
        <v>х</v>
      </c>
      <c r="BM119" s="5" t="str">
        <f t="shared" si="175"/>
        <v>х</v>
      </c>
      <c r="BN119" s="5" t="str">
        <f>"х"</f>
        <v>х</v>
      </c>
      <c r="BO119" s="5" t="str">
        <f t="shared" si="176"/>
        <v>х</v>
      </c>
      <c r="BP119" s="5" t="str">
        <f t="shared" si="176"/>
        <v>х</v>
      </c>
      <c r="BQ119" s="5" t="str">
        <f t="shared" si="176"/>
        <v>х</v>
      </c>
      <c r="BR119" s="5" t="str">
        <f>"1894"</f>
        <v>1894</v>
      </c>
      <c r="BS119" s="5" t="str">
        <f>"71,00"</f>
        <v>71,00</v>
      </c>
      <c r="BT119" s="5" t="str">
        <f>"2019"</f>
        <v>2019</v>
      </c>
      <c r="BU119" s="5" t="str">
        <f t="shared" si="107"/>
        <v>нет</v>
      </c>
      <c r="BV119" s="5" t="str">
        <f t="shared" si="165"/>
        <v>x</v>
      </c>
      <c r="BW119" s="5" t="str">
        <f t="shared" si="165"/>
        <v>x</v>
      </c>
      <c r="BX119" s="5" t="str">
        <f t="shared" si="165"/>
        <v>x</v>
      </c>
      <c r="BY119" s="5" t="str">
        <f t="shared" si="155"/>
        <v>нет</v>
      </c>
      <c r="BZ119" s="5" t="str">
        <f>"1894"</f>
        <v>1894</v>
      </c>
      <c r="CA119" s="5" t="str">
        <f>"56,00"</f>
        <v>56,00</v>
      </c>
      <c r="CB119" s="5" t="str">
        <f>"2020"</f>
        <v>2020</v>
      </c>
      <c r="CC119" s="5" t="str">
        <f>"1894"</f>
        <v>1894</v>
      </c>
      <c r="CD119" s="5" t="str">
        <f>"56,00"</f>
        <v>56,00</v>
      </c>
      <c r="CE119" s="5" t="str">
        <f>"2020"</f>
        <v>2020</v>
      </c>
      <c r="CF119" s="5" t="str">
        <f>"1894"</f>
        <v>1894</v>
      </c>
      <c r="CG119" s="5" t="str">
        <f>"71,00"</f>
        <v>71,00</v>
      </c>
      <c r="CH119" s="5" t="str">
        <f>"2019"</f>
        <v>2019</v>
      </c>
      <c r="CI119" s="5" t="str">
        <f>"56,00"</f>
        <v>56,00</v>
      </c>
      <c r="CJ119" s="5" t="str">
        <f>"2041"</f>
        <v>2041</v>
      </c>
    </row>
    <row r="120" spans="1:88" ht="11.25" customHeight="1">
      <c r="A120" s="3" t="str">
        <f>"1.107"</f>
        <v>1.107</v>
      </c>
      <c r="B120" s="4" t="str">
        <f>"г. Грязовец, ул. Карла Маркса, д.81"</f>
        <v>г. Грязовец, ул. Карла Маркса, д.81</v>
      </c>
      <c r="C120" s="7" t="str">
        <f>"1902"</f>
        <v>1902</v>
      </c>
      <c r="D120" s="5" t="str">
        <f>"1902"</f>
        <v>1902</v>
      </c>
      <c r="E120" s="5" t="str">
        <f>"57,00"</f>
        <v>57,00</v>
      </c>
      <c r="F120" s="5" t="str">
        <f>"2020"</f>
        <v>2020</v>
      </c>
      <c r="G120" s="5" t="str">
        <f>"нет"</f>
        <v>нет</v>
      </c>
      <c r="H120" s="5" t="str">
        <f>""</f>
        <v/>
      </c>
      <c r="I120" s="5" t="str">
        <f>""</f>
        <v/>
      </c>
      <c r="J120" s="5" t="str">
        <f>""</f>
        <v/>
      </c>
      <c r="K120" s="5" t="str">
        <f>"нет"</f>
        <v>нет</v>
      </c>
      <c r="L120" s="5" t="str">
        <f>""</f>
        <v/>
      </c>
      <c r="M120" s="5" t="str">
        <f>""</f>
        <v/>
      </c>
      <c r="N120" s="5" t="str">
        <f>""</f>
        <v/>
      </c>
      <c r="O120" s="8" t="str">
        <f t="shared" si="177"/>
        <v>х</v>
      </c>
      <c r="P120" s="5" t="str">
        <f t="shared" si="177"/>
        <v>х</v>
      </c>
      <c r="Q120" s="5" t="str">
        <f t="shared" si="177"/>
        <v>х</v>
      </c>
      <c r="R120" s="5" t="str">
        <f t="shared" si="177"/>
        <v>х</v>
      </c>
      <c r="S120" s="5" t="str">
        <f t="shared" si="169"/>
        <v>х</v>
      </c>
      <c r="T120" s="5" t="str">
        <f t="shared" si="169"/>
        <v>х</v>
      </c>
      <c r="U120" s="5" t="str">
        <f t="shared" si="169"/>
        <v>х</v>
      </c>
      <c r="V120" s="5" t="str">
        <f>"х"</f>
        <v>х</v>
      </c>
      <c r="W120" s="5" t="str">
        <f t="shared" si="170"/>
        <v>х</v>
      </c>
      <c r="X120" s="5" t="str">
        <f t="shared" si="170"/>
        <v>х</v>
      </c>
      <c r="Y120" s="9" t="str">
        <f t="shared" si="170"/>
        <v>х</v>
      </c>
      <c r="Z120" s="5" t="str">
        <f t="shared" si="178"/>
        <v>х</v>
      </c>
      <c r="AA120" s="5" t="str">
        <f t="shared" si="178"/>
        <v>х</v>
      </c>
      <c r="AB120" s="5" t="str">
        <f t="shared" si="178"/>
        <v>х</v>
      </c>
      <c r="AC120" s="5" t="str">
        <f t="shared" si="178"/>
        <v>х</v>
      </c>
      <c r="AD120" s="5" t="str">
        <f t="shared" si="178"/>
        <v>х</v>
      </c>
      <c r="AE120" s="5" t="str">
        <f t="shared" si="178"/>
        <v>х</v>
      </c>
      <c r="AF120" s="5" t="str">
        <f t="shared" si="178"/>
        <v>х</v>
      </c>
      <c r="AG120" s="5" t="str">
        <f t="shared" si="178"/>
        <v>х</v>
      </c>
      <c r="AH120" s="5" t="str">
        <f t="shared" si="178"/>
        <v>х</v>
      </c>
      <c r="AI120" s="5" t="str">
        <f t="shared" si="178"/>
        <v>х</v>
      </c>
      <c r="AJ120" s="5" t="str">
        <f t="shared" si="178"/>
        <v>х</v>
      </c>
      <c r="AK120" s="8" t="str">
        <f t="shared" si="178"/>
        <v>х</v>
      </c>
      <c r="AL120" s="5" t="str">
        <f t="shared" si="178"/>
        <v>х</v>
      </c>
      <c r="AM120" s="5" t="str">
        <f t="shared" si="178"/>
        <v>х</v>
      </c>
      <c r="AN120" s="5" t="str">
        <f t="shared" si="178"/>
        <v>х</v>
      </c>
      <c r="AO120" s="5" t="str">
        <f t="shared" si="171"/>
        <v>х</v>
      </c>
      <c r="AP120" s="5" t="str">
        <f t="shared" si="171"/>
        <v>х</v>
      </c>
      <c r="AQ120" s="5" t="str">
        <f t="shared" si="171"/>
        <v>х</v>
      </c>
      <c r="AR120" s="5" t="str">
        <f>"х"</f>
        <v>х</v>
      </c>
      <c r="AS120" s="5" t="str">
        <f t="shared" si="172"/>
        <v>х</v>
      </c>
      <c r="AT120" s="5" t="str">
        <f t="shared" si="172"/>
        <v>х</v>
      </c>
      <c r="AU120" s="5" t="str">
        <f t="shared" si="172"/>
        <v>х</v>
      </c>
      <c r="AV120" s="5" t="str">
        <f t="shared" si="179"/>
        <v>х</v>
      </c>
      <c r="AW120" s="5" t="str">
        <f t="shared" si="179"/>
        <v>х</v>
      </c>
      <c r="AX120" s="5" t="str">
        <f t="shared" si="179"/>
        <v>х</v>
      </c>
      <c r="AY120" s="5" t="str">
        <f t="shared" si="179"/>
        <v>х</v>
      </c>
      <c r="AZ120" s="5" t="str">
        <f t="shared" si="173"/>
        <v>х</v>
      </c>
      <c r="BA120" s="5" t="str">
        <f t="shared" si="173"/>
        <v>х</v>
      </c>
      <c r="BB120" s="5" t="str">
        <f t="shared" si="173"/>
        <v>х</v>
      </c>
      <c r="BC120" s="5" t="str">
        <f>"х"</f>
        <v>х</v>
      </c>
      <c r="BD120" s="5" t="str">
        <f t="shared" si="174"/>
        <v>х</v>
      </c>
      <c r="BE120" s="5" t="str">
        <f t="shared" si="174"/>
        <v>х</v>
      </c>
      <c r="BF120" s="5" t="str">
        <f t="shared" si="174"/>
        <v>х</v>
      </c>
      <c r="BG120" s="5" t="str">
        <f t="shared" si="180"/>
        <v>х</v>
      </c>
      <c r="BH120" s="5" t="str">
        <f t="shared" si="180"/>
        <v>х</v>
      </c>
      <c r="BI120" s="5" t="str">
        <f t="shared" si="180"/>
        <v>х</v>
      </c>
      <c r="BJ120" s="5" t="str">
        <f t="shared" si="180"/>
        <v>х</v>
      </c>
      <c r="BK120" s="5" t="str">
        <f t="shared" si="175"/>
        <v>х</v>
      </c>
      <c r="BL120" s="5" t="str">
        <f t="shared" si="175"/>
        <v>х</v>
      </c>
      <c r="BM120" s="5" t="str">
        <f t="shared" si="175"/>
        <v>х</v>
      </c>
      <c r="BN120" s="5" t="str">
        <f>"нет"</f>
        <v>нет</v>
      </c>
      <c r="BO120" s="5" t="str">
        <f t="shared" si="176"/>
        <v>х</v>
      </c>
      <c r="BP120" s="5" t="str">
        <f t="shared" si="176"/>
        <v>х</v>
      </c>
      <c r="BQ120" s="5" t="str">
        <f t="shared" si="176"/>
        <v>х</v>
      </c>
      <c r="BR120" s="5" t="str">
        <f>"1902"</f>
        <v>1902</v>
      </c>
      <c r="BS120" s="5" t="str">
        <f>"67,00"</f>
        <v>67,00</v>
      </c>
      <c r="BT120" s="5" t="str">
        <f>"2019"</f>
        <v>2019</v>
      </c>
      <c r="BU120" s="5" t="str">
        <f t="shared" si="107"/>
        <v>нет</v>
      </c>
      <c r="BV120" s="5" t="str">
        <f t="shared" si="165"/>
        <v>x</v>
      </c>
      <c r="BW120" s="5" t="str">
        <f t="shared" si="165"/>
        <v>x</v>
      </c>
      <c r="BX120" s="5" t="str">
        <f t="shared" si="165"/>
        <v>x</v>
      </c>
      <c r="BY120" s="5" t="str">
        <f t="shared" si="155"/>
        <v>нет</v>
      </c>
      <c r="BZ120" s="5" t="str">
        <f>"1902"</f>
        <v>1902</v>
      </c>
      <c r="CA120" s="5" t="str">
        <f>"52,00"</f>
        <v>52,00</v>
      </c>
      <c r="CB120" s="5" t="str">
        <f>"2020"</f>
        <v>2020</v>
      </c>
      <c r="CC120" s="5" t="str">
        <f>"1902"</f>
        <v>1902</v>
      </c>
      <c r="CD120" s="5" t="str">
        <f>"52,00"</f>
        <v>52,00</v>
      </c>
      <c r="CE120" s="5" t="str">
        <f>"2020"</f>
        <v>2020</v>
      </c>
      <c r="CF120" s="5" t="str">
        <f>"1902"</f>
        <v>1902</v>
      </c>
      <c r="CG120" s="5" t="str">
        <f>"67,00"</f>
        <v>67,00</v>
      </c>
      <c r="CH120" s="5" t="str">
        <f>"2019"</f>
        <v>2019</v>
      </c>
      <c r="CI120" s="5" t="str">
        <f>"52,00"</f>
        <v>52,00</v>
      </c>
      <c r="CJ120" s="5" t="str">
        <f>"2042"</f>
        <v>2042</v>
      </c>
    </row>
    <row r="121" spans="1:88" ht="11.25" customHeight="1">
      <c r="A121" s="3" t="str">
        <f>"1.108"</f>
        <v>1.108</v>
      </c>
      <c r="B121" s="4" t="str">
        <f>"г. Грязовец, ул. Карла Маркса, д.83"</f>
        <v>г. Грязовец, ул. Карла Маркса, д.83</v>
      </c>
      <c r="C121" s="7" t="str">
        <f>"1917"</f>
        <v>1917</v>
      </c>
      <c r="D121" s="5" t="str">
        <f>"1917"</f>
        <v>1917</v>
      </c>
      <c r="E121" s="5" t="str">
        <f>"80,00"</f>
        <v>80,00</v>
      </c>
      <c r="F121" s="5" t="str">
        <f>"2019"</f>
        <v>2019</v>
      </c>
      <c r="G121" s="5" t="str">
        <f t="shared" ref="G121:G140" si="181">"да"</f>
        <v>да</v>
      </c>
      <c r="H121" s="5" t="str">
        <f>""</f>
        <v/>
      </c>
      <c r="I121" s="5" t="str">
        <f>"65,00"</f>
        <v>65,00</v>
      </c>
      <c r="J121" s="5" t="str">
        <f>"2019"</f>
        <v>2019</v>
      </c>
      <c r="K121" s="5" t="str">
        <f t="shared" ref="K121:K140" si="182">"да"</f>
        <v>да</v>
      </c>
      <c r="L121" s="5" t="str">
        <f>""</f>
        <v/>
      </c>
      <c r="M121" s="5" t="str">
        <f>"65,00"</f>
        <v>65,00</v>
      </c>
      <c r="N121" s="5" t="str">
        <f>"2017"</f>
        <v>2017</v>
      </c>
      <c r="O121" s="8" t="str">
        <f t="shared" si="177"/>
        <v>х</v>
      </c>
      <c r="P121" s="5" t="str">
        <f t="shared" si="177"/>
        <v>х</v>
      </c>
      <c r="Q121" s="5" t="str">
        <f t="shared" si="177"/>
        <v>х</v>
      </c>
      <c r="R121" s="5" t="str">
        <f t="shared" si="177"/>
        <v>х</v>
      </c>
      <c r="S121" s="5" t="str">
        <f t="shared" si="169"/>
        <v>х</v>
      </c>
      <c r="T121" s="5" t="str">
        <f t="shared" si="169"/>
        <v>х</v>
      </c>
      <c r="U121" s="5" t="str">
        <f t="shared" si="169"/>
        <v>х</v>
      </c>
      <c r="V121" s="5" t="str">
        <f>"х"</f>
        <v>х</v>
      </c>
      <c r="W121" s="5" t="str">
        <f t="shared" si="170"/>
        <v>х</v>
      </c>
      <c r="X121" s="5" t="str">
        <f t="shared" si="170"/>
        <v>х</v>
      </c>
      <c r="Y121" s="9" t="str">
        <f t="shared" si="170"/>
        <v>х</v>
      </c>
      <c r="Z121" s="5" t="str">
        <f t="shared" si="178"/>
        <v>х</v>
      </c>
      <c r="AA121" s="5" t="str">
        <f t="shared" si="178"/>
        <v>х</v>
      </c>
      <c r="AB121" s="5" t="str">
        <f t="shared" si="178"/>
        <v>х</v>
      </c>
      <c r="AC121" s="5" t="str">
        <f t="shared" si="178"/>
        <v>х</v>
      </c>
      <c r="AD121" s="5" t="str">
        <f t="shared" si="178"/>
        <v>х</v>
      </c>
      <c r="AE121" s="5" t="str">
        <f t="shared" si="178"/>
        <v>х</v>
      </c>
      <c r="AF121" s="5" t="str">
        <f t="shared" si="178"/>
        <v>х</v>
      </c>
      <c r="AG121" s="5" t="str">
        <f t="shared" si="178"/>
        <v>х</v>
      </c>
      <c r="AH121" s="5" t="str">
        <f t="shared" si="178"/>
        <v>х</v>
      </c>
      <c r="AI121" s="5" t="str">
        <f t="shared" si="178"/>
        <v>х</v>
      </c>
      <c r="AJ121" s="5" t="str">
        <f t="shared" si="178"/>
        <v>х</v>
      </c>
      <c r="AK121" s="8" t="str">
        <f t="shared" si="178"/>
        <v>х</v>
      </c>
      <c r="AL121" s="5" t="str">
        <f t="shared" si="178"/>
        <v>х</v>
      </c>
      <c r="AM121" s="5" t="str">
        <f t="shared" si="178"/>
        <v>х</v>
      </c>
      <c r="AN121" s="5" t="str">
        <f t="shared" si="178"/>
        <v>х</v>
      </c>
      <c r="AO121" s="5" t="str">
        <f t="shared" si="171"/>
        <v>х</v>
      </c>
      <c r="AP121" s="5" t="str">
        <f t="shared" si="171"/>
        <v>х</v>
      </c>
      <c r="AQ121" s="5" t="str">
        <f t="shared" si="171"/>
        <v>х</v>
      </c>
      <c r="AR121" s="5" t="str">
        <f>"х"</f>
        <v>х</v>
      </c>
      <c r="AS121" s="5" t="str">
        <f t="shared" si="172"/>
        <v>х</v>
      </c>
      <c r="AT121" s="5" t="str">
        <f t="shared" si="172"/>
        <v>х</v>
      </c>
      <c r="AU121" s="5" t="str">
        <f t="shared" si="172"/>
        <v>х</v>
      </c>
      <c r="AV121" s="5" t="str">
        <f t="shared" si="179"/>
        <v>х</v>
      </c>
      <c r="AW121" s="5" t="str">
        <f t="shared" si="179"/>
        <v>х</v>
      </c>
      <c r="AX121" s="5" t="str">
        <f t="shared" si="179"/>
        <v>х</v>
      </c>
      <c r="AY121" s="5" t="str">
        <f t="shared" si="179"/>
        <v>х</v>
      </c>
      <c r="AZ121" s="5" t="str">
        <f t="shared" si="173"/>
        <v>х</v>
      </c>
      <c r="BA121" s="5" t="str">
        <f t="shared" si="173"/>
        <v>х</v>
      </c>
      <c r="BB121" s="5" t="str">
        <f t="shared" si="173"/>
        <v>х</v>
      </c>
      <c r="BC121" s="5" t="str">
        <f>"х"</f>
        <v>х</v>
      </c>
      <c r="BD121" s="5" t="str">
        <f t="shared" si="174"/>
        <v>х</v>
      </c>
      <c r="BE121" s="5" t="str">
        <f t="shared" si="174"/>
        <v>х</v>
      </c>
      <c r="BF121" s="5" t="str">
        <f t="shared" si="174"/>
        <v>х</v>
      </c>
      <c r="BG121" s="5" t="str">
        <f t="shared" si="180"/>
        <v>х</v>
      </c>
      <c r="BH121" s="5" t="str">
        <f t="shared" si="180"/>
        <v>х</v>
      </c>
      <c r="BI121" s="5" t="str">
        <f t="shared" si="180"/>
        <v>х</v>
      </c>
      <c r="BJ121" s="5" t="str">
        <f t="shared" si="180"/>
        <v>х</v>
      </c>
      <c r="BK121" s="5" t="str">
        <f t="shared" si="175"/>
        <v>х</v>
      </c>
      <c r="BL121" s="5" t="str">
        <f t="shared" si="175"/>
        <v>х</v>
      </c>
      <c r="BM121" s="5" t="str">
        <f t="shared" si="175"/>
        <v>х</v>
      </c>
      <c r="BN121" s="5" t="str">
        <f>"х"</f>
        <v>х</v>
      </c>
      <c r="BO121" s="5" t="str">
        <f t="shared" si="176"/>
        <v>х</v>
      </c>
      <c r="BP121" s="5" t="str">
        <f t="shared" si="176"/>
        <v>х</v>
      </c>
      <c r="BQ121" s="5" t="str">
        <f t="shared" si="176"/>
        <v>х</v>
      </c>
      <c r="BR121" s="5" t="str">
        <f>"1917"</f>
        <v>1917</v>
      </c>
      <c r="BS121" s="5" t="str">
        <f>"90,00"</f>
        <v>90,00</v>
      </c>
      <c r="BT121" s="5" t="str">
        <f>"2019"</f>
        <v>2019</v>
      </c>
      <c r="BU121" s="5" t="str">
        <f t="shared" si="107"/>
        <v>нет</v>
      </c>
      <c r="BV121" s="5" t="str">
        <f t="shared" si="165"/>
        <v>x</v>
      </c>
      <c r="BW121" s="5" t="str">
        <f t="shared" si="165"/>
        <v>x</v>
      </c>
      <c r="BX121" s="5" t="str">
        <f t="shared" si="165"/>
        <v>x</v>
      </c>
      <c r="BY121" s="5" t="str">
        <f t="shared" si="155"/>
        <v>нет</v>
      </c>
      <c r="BZ121" s="5" t="str">
        <f>"1917"</f>
        <v>1917</v>
      </c>
      <c r="CA121" s="5" t="str">
        <f>"75,00"</f>
        <v>75,00</v>
      </c>
      <c r="CB121" s="5" t="str">
        <f>"2019"</f>
        <v>2019</v>
      </c>
      <c r="CC121" s="5" t="str">
        <f>"1917"</f>
        <v>1917</v>
      </c>
      <c r="CD121" s="5" t="str">
        <f>"75,00"</f>
        <v>75,00</v>
      </c>
      <c r="CE121" s="5" t="str">
        <f>"2019"</f>
        <v>2019</v>
      </c>
      <c r="CF121" s="5" t="str">
        <f>"1917"</f>
        <v>1917</v>
      </c>
      <c r="CG121" s="5" t="str">
        <f>"90,00"</f>
        <v>90,00</v>
      </c>
      <c r="CH121" s="5" t="str">
        <f>"2019"</f>
        <v>2019</v>
      </c>
      <c r="CI121" s="5" t="str">
        <f>"75,00"</f>
        <v>75,00</v>
      </c>
      <c r="CJ121" s="5" t="str">
        <f>"2040"</f>
        <v>2040</v>
      </c>
    </row>
    <row r="122" spans="1:88" ht="11.25" customHeight="1">
      <c r="A122" s="3" t="str">
        <f>"1.109"</f>
        <v>1.109</v>
      </c>
      <c r="B122" s="4" t="str">
        <f>"г. Грязовец, ул. Карла Маркса, д.90"</f>
        <v>г. Грязовец, ул. Карла Маркса, д.90</v>
      </c>
      <c r="C122" s="7" t="str">
        <f>"1962"</f>
        <v>1962</v>
      </c>
      <c r="D122" s="5" t="str">
        <f>"1962"</f>
        <v>1962</v>
      </c>
      <c r="E122" s="5" t="str">
        <f>"60,00"</f>
        <v>60,00</v>
      </c>
      <c r="F122" s="5" t="str">
        <f>"2019"</f>
        <v>2019</v>
      </c>
      <c r="G122" s="5" t="str">
        <f t="shared" si="181"/>
        <v>да</v>
      </c>
      <c r="H122" s="5" t="str">
        <f>""</f>
        <v/>
      </c>
      <c r="I122" s="5" t="str">
        <f>"50,00"</f>
        <v>50,00</v>
      </c>
      <c r="J122" s="5" t="str">
        <f>"2019"</f>
        <v>2019</v>
      </c>
      <c r="K122" s="5" t="str">
        <f t="shared" si="182"/>
        <v>да</v>
      </c>
      <c r="L122" s="5" t="str">
        <f>""</f>
        <v/>
      </c>
      <c r="M122" s="5" t="str">
        <f>"50,00"</f>
        <v>50,00</v>
      </c>
      <c r="N122" s="5" t="str">
        <f>"2019"</f>
        <v>2019</v>
      </c>
      <c r="O122" s="8" t="str">
        <f t="shared" ref="O122:Q125" si="183">"х"</f>
        <v>х</v>
      </c>
      <c r="P122" s="5" t="str">
        <f t="shared" si="183"/>
        <v>х</v>
      </c>
      <c r="Q122" s="5" t="str">
        <f t="shared" si="183"/>
        <v>х</v>
      </c>
      <c r="R122" s="5" t="str">
        <f>"нет"</f>
        <v>нет</v>
      </c>
      <c r="S122" s="5" t="str">
        <f t="shared" si="169"/>
        <v>х</v>
      </c>
      <c r="T122" s="5" t="str">
        <f t="shared" si="169"/>
        <v>х</v>
      </c>
      <c r="U122" s="5" t="str">
        <f t="shared" si="169"/>
        <v>х</v>
      </c>
      <c r="V122" s="5" t="str">
        <f>"нет"</f>
        <v>нет</v>
      </c>
      <c r="W122" s="5" t="str">
        <f t="shared" si="170"/>
        <v>х</v>
      </c>
      <c r="X122" s="5" t="str">
        <f t="shared" si="170"/>
        <v>х</v>
      </c>
      <c r="Y122" s="9" t="str">
        <f t="shared" si="170"/>
        <v>х</v>
      </c>
      <c r="Z122" s="5" t="str">
        <f>"1962"</f>
        <v>1962</v>
      </c>
      <c r="AA122" s="5" t="str">
        <f>"46,00"</f>
        <v>46,00</v>
      </c>
      <c r="AB122" s="5" t="str">
        <f>"2025"</f>
        <v>2025</v>
      </c>
      <c r="AC122" s="5" t="str">
        <f>"да"</f>
        <v>да</v>
      </c>
      <c r="AD122" s="5" t="str">
        <f>""</f>
        <v/>
      </c>
      <c r="AE122" s="5" t="str">
        <f>"40,00"</f>
        <v>40,00</v>
      </c>
      <c r="AF122" s="5" t="str">
        <f>"2025"</f>
        <v>2025</v>
      </c>
      <c r="AG122" s="5" t="str">
        <f>"да"</f>
        <v>да</v>
      </c>
      <c r="AH122" s="5" t="str">
        <f>""</f>
        <v/>
      </c>
      <c r="AI122" s="5" t="str">
        <f>"40,00"</f>
        <v>40,00</v>
      </c>
      <c r="AJ122" s="5" t="str">
        <f>"2025"</f>
        <v>2025</v>
      </c>
      <c r="AK122" s="8" t="str">
        <f t="shared" ref="AK122:AM125" si="184">"х"</f>
        <v>х</v>
      </c>
      <c r="AL122" s="5" t="str">
        <f t="shared" si="184"/>
        <v>х</v>
      </c>
      <c r="AM122" s="5" t="str">
        <f t="shared" si="184"/>
        <v>х</v>
      </c>
      <c r="AN122" s="5" t="str">
        <f>"нет"</f>
        <v>нет</v>
      </c>
      <c r="AO122" s="5" t="str">
        <f t="shared" si="171"/>
        <v>х</v>
      </c>
      <c r="AP122" s="5" t="str">
        <f t="shared" si="171"/>
        <v>х</v>
      </c>
      <c r="AQ122" s="5" t="str">
        <f t="shared" si="171"/>
        <v>х</v>
      </c>
      <c r="AR122" s="5" t="str">
        <f>"нет"</f>
        <v>нет</v>
      </c>
      <c r="AS122" s="5" t="str">
        <f t="shared" si="172"/>
        <v>х</v>
      </c>
      <c r="AT122" s="5" t="str">
        <f t="shared" si="172"/>
        <v>х</v>
      </c>
      <c r="AU122" s="5" t="str">
        <f t="shared" si="172"/>
        <v>х</v>
      </c>
      <c r="AV122" s="5" t="str">
        <f t="shared" ref="AV122:AX125" si="185">"х"</f>
        <v>х</v>
      </c>
      <c r="AW122" s="5" t="str">
        <f t="shared" si="185"/>
        <v>х</v>
      </c>
      <c r="AX122" s="5" t="str">
        <f t="shared" si="185"/>
        <v>х</v>
      </c>
      <c r="AY122" s="5" t="str">
        <f>"нет"</f>
        <v>нет</v>
      </c>
      <c r="AZ122" s="5" t="str">
        <f t="shared" si="173"/>
        <v>х</v>
      </c>
      <c r="BA122" s="5" t="str">
        <f t="shared" si="173"/>
        <v>х</v>
      </c>
      <c r="BB122" s="5" t="str">
        <f t="shared" si="173"/>
        <v>х</v>
      </c>
      <c r="BC122" s="5" t="str">
        <f>"нет"</f>
        <v>нет</v>
      </c>
      <c r="BD122" s="5" t="str">
        <f t="shared" si="174"/>
        <v>х</v>
      </c>
      <c r="BE122" s="5" t="str">
        <f t="shared" si="174"/>
        <v>х</v>
      </c>
      <c r="BF122" s="5" t="str">
        <f t="shared" si="174"/>
        <v>х</v>
      </c>
      <c r="BG122" s="5" t="str">
        <f t="shared" ref="BG122:BI125" si="186">"х"</f>
        <v>х</v>
      </c>
      <c r="BH122" s="5" t="str">
        <f t="shared" si="186"/>
        <v>х</v>
      </c>
      <c r="BI122" s="5" t="str">
        <f t="shared" si="186"/>
        <v>х</v>
      </c>
      <c r="BJ122" s="5" t="str">
        <f>"нет"</f>
        <v>нет</v>
      </c>
      <c r="BK122" s="5" t="str">
        <f t="shared" si="175"/>
        <v>х</v>
      </c>
      <c r="BL122" s="5" t="str">
        <f t="shared" si="175"/>
        <v>х</v>
      </c>
      <c r="BM122" s="5" t="str">
        <f t="shared" si="175"/>
        <v>х</v>
      </c>
      <c r="BN122" s="5" t="str">
        <f>"нет"</f>
        <v>нет</v>
      </c>
      <c r="BO122" s="5" t="str">
        <f t="shared" si="176"/>
        <v>х</v>
      </c>
      <c r="BP122" s="5" t="str">
        <f t="shared" si="176"/>
        <v>х</v>
      </c>
      <c r="BQ122" s="5" t="str">
        <f t="shared" si="176"/>
        <v>х</v>
      </c>
      <c r="BR122" s="5" t="str">
        <f>"1962"</f>
        <v>1962</v>
      </c>
      <c r="BS122" s="5" t="str">
        <f>"50,00"</f>
        <v>50,00</v>
      </c>
      <c r="BT122" s="5" t="str">
        <f>"2020"</f>
        <v>2020</v>
      </c>
      <c r="BU122" s="5" t="str">
        <f t="shared" si="107"/>
        <v>нет</v>
      </c>
      <c r="BV122" s="5" t="str">
        <f t="shared" si="165"/>
        <v>x</v>
      </c>
      <c r="BW122" s="5" t="str">
        <f t="shared" si="165"/>
        <v>x</v>
      </c>
      <c r="BX122" s="5" t="str">
        <f t="shared" si="165"/>
        <v>x</v>
      </c>
      <c r="BY122" s="5" t="str">
        <f t="shared" si="155"/>
        <v>нет</v>
      </c>
      <c r="BZ122" s="5" t="str">
        <f>"1962"</f>
        <v>1962</v>
      </c>
      <c r="CA122" s="5" t="str">
        <f>"46,00"</f>
        <v>46,00</v>
      </c>
      <c r="CB122" s="5" t="str">
        <f>"2025"</f>
        <v>2025</v>
      </c>
      <c r="CC122" s="5" t="str">
        <f>"1962"</f>
        <v>1962</v>
      </c>
      <c r="CD122" s="5" t="str">
        <f>"46,00"</f>
        <v>46,00</v>
      </c>
      <c r="CE122" s="5" t="str">
        <f>"2025"</f>
        <v>2025</v>
      </c>
      <c r="CF122" s="5" t="str">
        <f>"1962"</f>
        <v>1962</v>
      </c>
      <c r="CG122" s="5" t="str">
        <f>"46,00"</f>
        <v>46,00</v>
      </c>
      <c r="CH122" s="5" t="str">
        <f>"2025"</f>
        <v>2025</v>
      </c>
      <c r="CI122" s="5" t="str">
        <f>"46,00"</f>
        <v>46,00</v>
      </c>
      <c r="CJ122" s="5" t="str">
        <f>"2042"</f>
        <v>2042</v>
      </c>
    </row>
    <row r="123" spans="1:88" ht="11.25" customHeight="1">
      <c r="A123" s="3" t="str">
        <f>"1.110"</f>
        <v>1.110</v>
      </c>
      <c r="B123" s="4" t="str">
        <f>"г. Грязовец, ул. Коммунистическая, д.20"</f>
        <v>г. Грязовец, ул. Коммунистическая, д.20</v>
      </c>
      <c r="C123" s="7" t="str">
        <f>"1992"</f>
        <v>1992</v>
      </c>
      <c r="D123" s="5" t="str">
        <f>"1992"</f>
        <v>1992</v>
      </c>
      <c r="E123" s="5" t="str">
        <f>"16,00"</f>
        <v>16,00</v>
      </c>
      <c r="F123" s="5" t="str">
        <f>"2025"</f>
        <v>2025</v>
      </c>
      <c r="G123" s="5" t="str">
        <f t="shared" si="181"/>
        <v>да</v>
      </c>
      <c r="H123" s="5" t="str">
        <f>""</f>
        <v/>
      </c>
      <c r="I123" s="5" t="str">
        <f>"15,00"</f>
        <v>15,00</v>
      </c>
      <c r="J123" s="5" t="str">
        <f>"2025"</f>
        <v>2025</v>
      </c>
      <c r="K123" s="5" t="str">
        <f t="shared" si="182"/>
        <v>да</v>
      </c>
      <c r="L123" s="5" t="str">
        <f>""</f>
        <v/>
      </c>
      <c r="M123" s="5" t="str">
        <f>"15,00"</f>
        <v>15,00</v>
      </c>
      <c r="N123" s="5" t="str">
        <f>"2025"</f>
        <v>2025</v>
      </c>
      <c r="O123" s="8" t="str">
        <f t="shared" si="183"/>
        <v>х</v>
      </c>
      <c r="P123" s="5" t="str">
        <f t="shared" si="183"/>
        <v>х</v>
      </c>
      <c r="Q123" s="5" t="str">
        <f t="shared" si="183"/>
        <v>х</v>
      </c>
      <c r="R123" s="5" t="str">
        <f>"х"</f>
        <v>х</v>
      </c>
      <c r="S123" s="5" t="str">
        <f t="shared" si="169"/>
        <v>х</v>
      </c>
      <c r="T123" s="5" t="str">
        <f t="shared" si="169"/>
        <v>х</v>
      </c>
      <c r="U123" s="5" t="str">
        <f t="shared" si="169"/>
        <v>х</v>
      </c>
      <c r="V123" s="5" t="str">
        <f>"х"</f>
        <v>х</v>
      </c>
      <c r="W123" s="5" t="str">
        <f t="shared" si="170"/>
        <v>х</v>
      </c>
      <c r="X123" s="5" t="str">
        <f t="shared" si="170"/>
        <v>х</v>
      </c>
      <c r="Y123" s="9" t="str">
        <f t="shared" si="170"/>
        <v>х</v>
      </c>
      <c r="Z123" s="5" t="str">
        <f t="shared" ref="Z123:AJ123" si="187">"х"</f>
        <v>х</v>
      </c>
      <c r="AA123" s="5" t="str">
        <f t="shared" si="187"/>
        <v>х</v>
      </c>
      <c r="AB123" s="5" t="str">
        <f t="shared" si="187"/>
        <v>х</v>
      </c>
      <c r="AC123" s="5" t="str">
        <f t="shared" si="187"/>
        <v>х</v>
      </c>
      <c r="AD123" s="5" t="str">
        <f t="shared" si="187"/>
        <v>х</v>
      </c>
      <c r="AE123" s="5" t="str">
        <f t="shared" si="187"/>
        <v>х</v>
      </c>
      <c r="AF123" s="5" t="str">
        <f t="shared" si="187"/>
        <v>х</v>
      </c>
      <c r="AG123" s="5" t="str">
        <f t="shared" si="187"/>
        <v>х</v>
      </c>
      <c r="AH123" s="5" t="str">
        <f t="shared" si="187"/>
        <v>х</v>
      </c>
      <c r="AI123" s="5" t="str">
        <f t="shared" si="187"/>
        <v>х</v>
      </c>
      <c r="AJ123" s="5" t="str">
        <f t="shared" si="187"/>
        <v>х</v>
      </c>
      <c r="AK123" s="8" t="str">
        <f t="shared" si="184"/>
        <v>х</v>
      </c>
      <c r="AL123" s="5" t="str">
        <f t="shared" si="184"/>
        <v>х</v>
      </c>
      <c r="AM123" s="5" t="str">
        <f t="shared" si="184"/>
        <v>х</v>
      </c>
      <c r="AN123" s="5" t="str">
        <f>"х"</f>
        <v>х</v>
      </c>
      <c r="AO123" s="5" t="str">
        <f t="shared" si="171"/>
        <v>х</v>
      </c>
      <c r="AP123" s="5" t="str">
        <f t="shared" si="171"/>
        <v>х</v>
      </c>
      <c r="AQ123" s="5" t="str">
        <f t="shared" si="171"/>
        <v>х</v>
      </c>
      <c r="AR123" s="5" t="str">
        <f>"х"</f>
        <v>х</v>
      </c>
      <c r="AS123" s="5" t="str">
        <f t="shared" si="172"/>
        <v>х</v>
      </c>
      <c r="AT123" s="5" t="str">
        <f t="shared" si="172"/>
        <v>х</v>
      </c>
      <c r="AU123" s="5" t="str">
        <f t="shared" si="172"/>
        <v>х</v>
      </c>
      <c r="AV123" s="5" t="str">
        <f t="shared" si="185"/>
        <v>х</v>
      </c>
      <c r="AW123" s="5" t="str">
        <f t="shared" si="185"/>
        <v>х</v>
      </c>
      <c r="AX123" s="5" t="str">
        <f t="shared" si="185"/>
        <v>х</v>
      </c>
      <c r="AY123" s="5" t="str">
        <f>"х"</f>
        <v>х</v>
      </c>
      <c r="AZ123" s="5" t="str">
        <f t="shared" si="173"/>
        <v>х</v>
      </c>
      <c r="BA123" s="5" t="str">
        <f t="shared" si="173"/>
        <v>х</v>
      </c>
      <c r="BB123" s="5" t="str">
        <f t="shared" si="173"/>
        <v>х</v>
      </c>
      <c r="BC123" s="5" t="str">
        <f>"х"</f>
        <v>х</v>
      </c>
      <c r="BD123" s="5" t="str">
        <f t="shared" si="174"/>
        <v>х</v>
      </c>
      <c r="BE123" s="5" t="str">
        <f t="shared" si="174"/>
        <v>х</v>
      </c>
      <c r="BF123" s="5" t="str">
        <f t="shared" si="174"/>
        <v>х</v>
      </c>
      <c r="BG123" s="5" t="str">
        <f t="shared" si="186"/>
        <v>х</v>
      </c>
      <c r="BH123" s="5" t="str">
        <f t="shared" si="186"/>
        <v>х</v>
      </c>
      <c r="BI123" s="5" t="str">
        <f t="shared" si="186"/>
        <v>х</v>
      </c>
      <c r="BJ123" s="5" t="str">
        <f>"х"</f>
        <v>х</v>
      </c>
      <c r="BK123" s="5" t="str">
        <f t="shared" si="175"/>
        <v>х</v>
      </c>
      <c r="BL123" s="5" t="str">
        <f t="shared" si="175"/>
        <v>х</v>
      </c>
      <c r="BM123" s="5" t="str">
        <f t="shared" si="175"/>
        <v>х</v>
      </c>
      <c r="BN123" s="5" t="str">
        <f>"х"</f>
        <v>х</v>
      </c>
      <c r="BO123" s="5" t="str">
        <f t="shared" si="176"/>
        <v>х</v>
      </c>
      <c r="BP123" s="5" t="str">
        <f t="shared" si="176"/>
        <v>х</v>
      </c>
      <c r="BQ123" s="5" t="str">
        <f t="shared" si="176"/>
        <v>х</v>
      </c>
      <c r="BR123" s="5" t="str">
        <f>"1992"</f>
        <v>1992</v>
      </c>
      <c r="BS123" s="5" t="str">
        <f>"16,00"</f>
        <v>16,00</v>
      </c>
      <c r="BT123" s="5" t="str">
        <f>"2025"</f>
        <v>2025</v>
      </c>
      <c r="BU123" s="5" t="str">
        <f t="shared" si="107"/>
        <v>нет</v>
      </c>
      <c r="BV123" s="5" t="str">
        <f t="shared" si="165"/>
        <v>x</v>
      </c>
      <c r="BW123" s="5" t="str">
        <f t="shared" si="165"/>
        <v>x</v>
      </c>
      <c r="BX123" s="5" t="str">
        <f t="shared" si="165"/>
        <v>x</v>
      </c>
      <c r="BY123" s="5" t="str">
        <f t="shared" si="155"/>
        <v>нет</v>
      </c>
      <c r="BZ123" s="5" t="str">
        <f t="shared" ref="BZ123:CB125" si="188">"x"</f>
        <v>x</v>
      </c>
      <c r="CA123" s="5" t="str">
        <f t="shared" si="188"/>
        <v>x</v>
      </c>
      <c r="CB123" s="5" t="str">
        <f t="shared" si="188"/>
        <v>x</v>
      </c>
      <c r="CC123" s="5" t="str">
        <f>"1992"</f>
        <v>1992</v>
      </c>
      <c r="CD123" s="5" t="str">
        <f>"16,00"</f>
        <v>16,00</v>
      </c>
      <c r="CE123" s="5" t="str">
        <f>"2025"</f>
        <v>2025</v>
      </c>
      <c r="CF123" s="5" t="str">
        <f>"1992"</f>
        <v>1992</v>
      </c>
      <c r="CG123" s="5" t="str">
        <f>"16,00"</f>
        <v>16,00</v>
      </c>
      <c r="CH123" s="5" t="str">
        <f>"2025"</f>
        <v>2025</v>
      </c>
      <c r="CI123" s="5" t="str">
        <f>"16,00"</f>
        <v>16,00</v>
      </c>
      <c r="CJ123" s="5" t="str">
        <f>"2025"</f>
        <v>2025</v>
      </c>
    </row>
    <row r="124" spans="1:88" ht="11.25" customHeight="1">
      <c r="A124" s="3" t="str">
        <f>"1.111"</f>
        <v>1.111</v>
      </c>
      <c r="B124" s="4" t="str">
        <f>"г. Грязовец, ул. Коммунистическая, д.44"</f>
        <v>г. Грязовец, ул. Коммунистическая, д.44</v>
      </c>
      <c r="C124" s="7" t="str">
        <f>"1987"</f>
        <v>1987</v>
      </c>
      <c r="D124" s="5" t="str">
        <f>"1987"</f>
        <v>1987</v>
      </c>
      <c r="E124" s="5" t="str">
        <f>"30,00"</f>
        <v>30,00</v>
      </c>
      <c r="F124" s="5" t="str">
        <f>"2023"</f>
        <v>2023</v>
      </c>
      <c r="G124" s="5" t="str">
        <f t="shared" si="181"/>
        <v>да</v>
      </c>
      <c r="H124" s="5" t="str">
        <f>""</f>
        <v/>
      </c>
      <c r="I124" s="5" t="str">
        <f>"30,00"</f>
        <v>30,00</v>
      </c>
      <c r="J124" s="5" t="str">
        <f>"2023"</f>
        <v>2023</v>
      </c>
      <c r="K124" s="5" t="str">
        <f t="shared" si="182"/>
        <v>да</v>
      </c>
      <c r="L124" s="5" t="str">
        <f>""</f>
        <v/>
      </c>
      <c r="M124" s="5" t="str">
        <f>"30,00"</f>
        <v>30,00</v>
      </c>
      <c r="N124" s="5" t="str">
        <f>"2023"</f>
        <v>2023</v>
      </c>
      <c r="O124" s="8" t="str">
        <f t="shared" si="183"/>
        <v>х</v>
      </c>
      <c r="P124" s="5" t="str">
        <f t="shared" si="183"/>
        <v>х</v>
      </c>
      <c r="Q124" s="5" t="str">
        <f t="shared" si="183"/>
        <v>х</v>
      </c>
      <c r="R124" s="5" t="str">
        <f>"нет"</f>
        <v>нет</v>
      </c>
      <c r="S124" s="5" t="str">
        <f t="shared" si="169"/>
        <v>х</v>
      </c>
      <c r="T124" s="5" t="str">
        <f t="shared" si="169"/>
        <v>х</v>
      </c>
      <c r="U124" s="5" t="str">
        <f t="shared" si="169"/>
        <v>х</v>
      </c>
      <c r="V124" s="5" t="str">
        <f>"нет"</f>
        <v>нет</v>
      </c>
      <c r="W124" s="5" t="str">
        <f t="shared" si="170"/>
        <v>х</v>
      </c>
      <c r="X124" s="5" t="str">
        <f t="shared" si="170"/>
        <v>х</v>
      </c>
      <c r="Y124" s="9" t="str">
        <f t="shared" si="170"/>
        <v>х</v>
      </c>
      <c r="Z124" s="5" t="str">
        <f>"1987"</f>
        <v>1987</v>
      </c>
      <c r="AA124" s="5" t="str">
        <f>"18,00"</f>
        <v>18,00</v>
      </c>
      <c r="AB124" s="5" t="str">
        <f>"2025"</f>
        <v>2025</v>
      </c>
      <c r="AC124" s="5" t="str">
        <f>"да"</f>
        <v>да</v>
      </c>
      <c r="AD124" s="5" t="str">
        <f>""</f>
        <v/>
      </c>
      <c r="AE124" s="5" t="str">
        <f>"15,00"</f>
        <v>15,00</v>
      </c>
      <c r="AF124" s="5" t="str">
        <f>"2025"</f>
        <v>2025</v>
      </c>
      <c r="AG124" s="5" t="str">
        <f>"да"</f>
        <v>да</v>
      </c>
      <c r="AH124" s="5" t="str">
        <f>""</f>
        <v/>
      </c>
      <c r="AI124" s="5" t="str">
        <f>"15,00"</f>
        <v>15,00</v>
      </c>
      <c r="AJ124" s="5" t="str">
        <f>"2025"</f>
        <v>2025</v>
      </c>
      <c r="AK124" s="8" t="str">
        <f t="shared" si="184"/>
        <v>х</v>
      </c>
      <c r="AL124" s="5" t="str">
        <f t="shared" si="184"/>
        <v>х</v>
      </c>
      <c r="AM124" s="5" t="str">
        <f t="shared" si="184"/>
        <v>х</v>
      </c>
      <c r="AN124" s="5" t="str">
        <f>"нет"</f>
        <v>нет</v>
      </c>
      <c r="AO124" s="5" t="str">
        <f t="shared" si="171"/>
        <v>х</v>
      </c>
      <c r="AP124" s="5" t="str">
        <f t="shared" si="171"/>
        <v>х</v>
      </c>
      <c r="AQ124" s="5" t="str">
        <f t="shared" si="171"/>
        <v>х</v>
      </c>
      <c r="AR124" s="5" t="str">
        <f>"нет"</f>
        <v>нет</v>
      </c>
      <c r="AS124" s="5" t="str">
        <f t="shared" si="172"/>
        <v>х</v>
      </c>
      <c r="AT124" s="5" t="str">
        <f t="shared" si="172"/>
        <v>х</v>
      </c>
      <c r="AU124" s="5" t="str">
        <f t="shared" si="172"/>
        <v>х</v>
      </c>
      <c r="AV124" s="5" t="str">
        <f t="shared" si="185"/>
        <v>х</v>
      </c>
      <c r="AW124" s="5" t="str">
        <f t="shared" si="185"/>
        <v>х</v>
      </c>
      <c r="AX124" s="5" t="str">
        <f t="shared" si="185"/>
        <v>х</v>
      </c>
      <c r="AY124" s="5" t="str">
        <f t="shared" ref="AY124:AY134" si="189">"нет"</f>
        <v>нет</v>
      </c>
      <c r="AZ124" s="5" t="str">
        <f t="shared" si="173"/>
        <v>х</v>
      </c>
      <c r="BA124" s="5" t="str">
        <f t="shared" si="173"/>
        <v>х</v>
      </c>
      <c r="BB124" s="5" t="str">
        <f t="shared" si="173"/>
        <v>х</v>
      </c>
      <c r="BC124" s="5" t="str">
        <f t="shared" ref="BC124:BC134" si="190">"нет"</f>
        <v>нет</v>
      </c>
      <c r="BD124" s="5" t="str">
        <f t="shared" si="174"/>
        <v>х</v>
      </c>
      <c r="BE124" s="5" t="str">
        <f t="shared" si="174"/>
        <v>х</v>
      </c>
      <c r="BF124" s="5" t="str">
        <f t="shared" si="174"/>
        <v>х</v>
      </c>
      <c r="BG124" s="5" t="str">
        <f t="shared" si="186"/>
        <v>х</v>
      </c>
      <c r="BH124" s="5" t="str">
        <f t="shared" si="186"/>
        <v>х</v>
      </c>
      <c r="BI124" s="5" t="str">
        <f t="shared" si="186"/>
        <v>х</v>
      </c>
      <c r="BJ124" s="5" t="str">
        <f t="shared" ref="BJ124:BJ134" si="191">"нет"</f>
        <v>нет</v>
      </c>
      <c r="BK124" s="5" t="str">
        <f t="shared" si="175"/>
        <v>х</v>
      </c>
      <c r="BL124" s="5" t="str">
        <f t="shared" si="175"/>
        <v>х</v>
      </c>
      <c r="BM124" s="5" t="str">
        <f t="shared" si="175"/>
        <v>х</v>
      </c>
      <c r="BN124" s="5" t="str">
        <f t="shared" ref="BN124:BN134" si="192">"нет"</f>
        <v>нет</v>
      </c>
      <c r="BO124" s="5" t="str">
        <f t="shared" si="176"/>
        <v>х</v>
      </c>
      <c r="BP124" s="5" t="str">
        <f t="shared" si="176"/>
        <v>х</v>
      </c>
      <c r="BQ124" s="5" t="str">
        <f t="shared" si="176"/>
        <v>х</v>
      </c>
      <c r="BR124" s="5" t="str">
        <f>"1987"</f>
        <v>1987</v>
      </c>
      <c r="BS124" s="5" t="str">
        <f>"18,00"</f>
        <v>18,00</v>
      </c>
      <c r="BT124" s="5" t="str">
        <f>"2025"</f>
        <v>2025</v>
      </c>
      <c r="BU124" s="5" t="str">
        <f t="shared" si="107"/>
        <v>нет</v>
      </c>
      <c r="BV124" s="5" t="str">
        <f t="shared" si="165"/>
        <v>x</v>
      </c>
      <c r="BW124" s="5" t="str">
        <f t="shared" si="165"/>
        <v>x</v>
      </c>
      <c r="BX124" s="5" t="str">
        <f t="shared" si="165"/>
        <v>x</v>
      </c>
      <c r="BY124" s="5" t="str">
        <f t="shared" si="155"/>
        <v>нет</v>
      </c>
      <c r="BZ124" s="5" t="str">
        <f t="shared" si="188"/>
        <v>x</v>
      </c>
      <c r="CA124" s="5" t="str">
        <f t="shared" si="188"/>
        <v>x</v>
      </c>
      <c r="CB124" s="5" t="str">
        <f t="shared" si="188"/>
        <v>x</v>
      </c>
      <c r="CC124" s="5" t="str">
        <f>"1987"</f>
        <v>1987</v>
      </c>
      <c r="CD124" s="5" t="str">
        <f>"18,00"</f>
        <v>18,00</v>
      </c>
      <c r="CE124" s="5" t="str">
        <f>"2025"</f>
        <v>2025</v>
      </c>
      <c r="CF124" s="5" t="str">
        <f>"1987"</f>
        <v>1987</v>
      </c>
      <c r="CG124" s="5" t="str">
        <f>"20,00"</f>
        <v>20,00</v>
      </c>
      <c r="CH124" s="5" t="str">
        <f>"2025"</f>
        <v>2025</v>
      </c>
      <c r="CI124" s="5" t="str">
        <f>"18,00"</f>
        <v>18,00</v>
      </c>
      <c r="CJ124" s="5" t="str">
        <f>"2043"</f>
        <v>2043</v>
      </c>
    </row>
    <row r="125" spans="1:88" ht="11.25" customHeight="1">
      <c r="A125" s="3" t="str">
        <f>"1.112"</f>
        <v>1.112</v>
      </c>
      <c r="B125" s="4" t="str">
        <f>"г. Грязовец, ул. Коммунистическая, д.46"</f>
        <v>г. Грязовец, ул. Коммунистическая, д.46</v>
      </c>
      <c r="C125" s="7" t="str">
        <f>"1993"</f>
        <v>1993</v>
      </c>
      <c r="D125" s="5" t="str">
        <f>"1993"</f>
        <v>1993</v>
      </c>
      <c r="E125" s="5" t="str">
        <f>"20,00"</f>
        <v>20,00</v>
      </c>
      <c r="F125" s="5" t="str">
        <f>"2025"</f>
        <v>2025</v>
      </c>
      <c r="G125" s="5" t="str">
        <f t="shared" si="181"/>
        <v>да</v>
      </c>
      <c r="H125" s="5" t="str">
        <f>""</f>
        <v/>
      </c>
      <c r="I125" s="5" t="str">
        <f>"20,00"</f>
        <v>20,00</v>
      </c>
      <c r="J125" s="5" t="str">
        <f>"2025"</f>
        <v>2025</v>
      </c>
      <c r="K125" s="5" t="str">
        <f t="shared" si="182"/>
        <v>да</v>
      </c>
      <c r="L125" s="5" t="str">
        <f>""</f>
        <v/>
      </c>
      <c r="M125" s="5" t="str">
        <f>"20,00"</f>
        <v>20,00</v>
      </c>
      <c r="N125" s="5" t="str">
        <f>"2025"</f>
        <v>2025</v>
      </c>
      <c r="O125" s="8" t="str">
        <f t="shared" si="183"/>
        <v>х</v>
      </c>
      <c r="P125" s="5" t="str">
        <f t="shared" si="183"/>
        <v>х</v>
      </c>
      <c r="Q125" s="5" t="str">
        <f t="shared" si="183"/>
        <v>х</v>
      </c>
      <c r="R125" s="5" t="str">
        <f>"нет"</f>
        <v>нет</v>
      </c>
      <c r="S125" s="5" t="str">
        <f t="shared" si="169"/>
        <v>х</v>
      </c>
      <c r="T125" s="5" t="str">
        <f t="shared" si="169"/>
        <v>х</v>
      </c>
      <c r="U125" s="5" t="str">
        <f t="shared" si="169"/>
        <v>х</v>
      </c>
      <c r="V125" s="5" t="str">
        <f>"нет"</f>
        <v>нет</v>
      </c>
      <c r="W125" s="5" t="str">
        <f t="shared" si="170"/>
        <v>х</v>
      </c>
      <c r="X125" s="5" t="str">
        <f t="shared" si="170"/>
        <v>х</v>
      </c>
      <c r="Y125" s="9" t="str">
        <f t="shared" si="170"/>
        <v>х</v>
      </c>
      <c r="Z125" s="5" t="str">
        <f>"1993"</f>
        <v>1993</v>
      </c>
      <c r="AA125" s="5" t="str">
        <f>"12,00"</f>
        <v>12,00</v>
      </c>
      <c r="AB125" s="5" t="str">
        <f>"2025"</f>
        <v>2025</v>
      </c>
      <c r="AC125" s="5" t="str">
        <f>"да"</f>
        <v>да</v>
      </c>
      <c r="AD125" s="5" t="str">
        <f>""</f>
        <v/>
      </c>
      <c r="AE125" s="5" t="str">
        <f>"10,00"</f>
        <v>10,00</v>
      </c>
      <c r="AF125" s="5" t="str">
        <f>"2025"</f>
        <v>2025</v>
      </c>
      <c r="AG125" s="5" t="str">
        <f>"да"</f>
        <v>да</v>
      </c>
      <c r="AH125" s="5" t="str">
        <f>""</f>
        <v/>
      </c>
      <c r="AI125" s="5" t="str">
        <f>"10,00"</f>
        <v>10,00</v>
      </c>
      <c r="AJ125" s="5" t="str">
        <f>"2025"</f>
        <v>2025</v>
      </c>
      <c r="AK125" s="8" t="str">
        <f t="shared" si="184"/>
        <v>х</v>
      </c>
      <c r="AL125" s="5" t="str">
        <f t="shared" si="184"/>
        <v>х</v>
      </c>
      <c r="AM125" s="5" t="str">
        <f t="shared" si="184"/>
        <v>х</v>
      </c>
      <c r="AN125" s="5" t="str">
        <f>"нет"</f>
        <v>нет</v>
      </c>
      <c r="AO125" s="5" t="str">
        <f t="shared" si="171"/>
        <v>х</v>
      </c>
      <c r="AP125" s="5" t="str">
        <f t="shared" si="171"/>
        <v>х</v>
      </c>
      <c r="AQ125" s="5" t="str">
        <f t="shared" si="171"/>
        <v>х</v>
      </c>
      <c r="AR125" s="5" t="str">
        <f>"нет"</f>
        <v>нет</v>
      </c>
      <c r="AS125" s="5" t="str">
        <f t="shared" si="172"/>
        <v>х</v>
      </c>
      <c r="AT125" s="5" t="str">
        <f t="shared" si="172"/>
        <v>х</v>
      </c>
      <c r="AU125" s="5" t="str">
        <f t="shared" si="172"/>
        <v>х</v>
      </c>
      <c r="AV125" s="5" t="str">
        <f t="shared" si="185"/>
        <v>х</v>
      </c>
      <c r="AW125" s="5" t="str">
        <f t="shared" si="185"/>
        <v>х</v>
      </c>
      <c r="AX125" s="5" t="str">
        <f t="shared" si="185"/>
        <v>х</v>
      </c>
      <c r="AY125" s="5" t="str">
        <f t="shared" si="189"/>
        <v>нет</v>
      </c>
      <c r="AZ125" s="5" t="str">
        <f t="shared" si="173"/>
        <v>х</v>
      </c>
      <c r="BA125" s="5" t="str">
        <f t="shared" si="173"/>
        <v>х</v>
      </c>
      <c r="BB125" s="5" t="str">
        <f t="shared" si="173"/>
        <v>х</v>
      </c>
      <c r="BC125" s="5" t="str">
        <f t="shared" si="190"/>
        <v>нет</v>
      </c>
      <c r="BD125" s="5" t="str">
        <f t="shared" si="174"/>
        <v>х</v>
      </c>
      <c r="BE125" s="5" t="str">
        <f t="shared" si="174"/>
        <v>х</v>
      </c>
      <c r="BF125" s="5" t="str">
        <f t="shared" si="174"/>
        <v>х</v>
      </c>
      <c r="BG125" s="5" t="str">
        <f t="shared" si="186"/>
        <v>х</v>
      </c>
      <c r="BH125" s="5" t="str">
        <f t="shared" si="186"/>
        <v>х</v>
      </c>
      <c r="BI125" s="5" t="str">
        <f t="shared" si="186"/>
        <v>х</v>
      </c>
      <c r="BJ125" s="5" t="str">
        <f t="shared" si="191"/>
        <v>нет</v>
      </c>
      <c r="BK125" s="5" t="str">
        <f t="shared" si="175"/>
        <v>х</v>
      </c>
      <c r="BL125" s="5" t="str">
        <f t="shared" si="175"/>
        <v>х</v>
      </c>
      <c r="BM125" s="5" t="str">
        <f t="shared" si="175"/>
        <v>х</v>
      </c>
      <c r="BN125" s="5" t="str">
        <f t="shared" si="192"/>
        <v>нет</v>
      </c>
      <c r="BO125" s="5" t="str">
        <f t="shared" si="176"/>
        <v>х</v>
      </c>
      <c r="BP125" s="5" t="str">
        <f t="shared" si="176"/>
        <v>х</v>
      </c>
      <c r="BQ125" s="5" t="str">
        <f t="shared" si="176"/>
        <v>х</v>
      </c>
      <c r="BR125" s="5" t="str">
        <f>"1993"</f>
        <v>1993</v>
      </c>
      <c r="BS125" s="5" t="str">
        <f>"20,00"</f>
        <v>20,00</v>
      </c>
      <c r="BT125" s="5" t="str">
        <f>"2025"</f>
        <v>2025</v>
      </c>
      <c r="BU125" s="5" t="str">
        <f t="shared" si="107"/>
        <v>нет</v>
      </c>
      <c r="BV125" s="5" t="str">
        <f t="shared" si="165"/>
        <v>x</v>
      </c>
      <c r="BW125" s="5" t="str">
        <f t="shared" si="165"/>
        <v>x</v>
      </c>
      <c r="BX125" s="5" t="str">
        <f t="shared" si="165"/>
        <v>x</v>
      </c>
      <c r="BY125" s="5" t="str">
        <f t="shared" si="155"/>
        <v>нет</v>
      </c>
      <c r="BZ125" s="5" t="str">
        <f t="shared" si="188"/>
        <v>x</v>
      </c>
      <c r="CA125" s="5" t="str">
        <f t="shared" si="188"/>
        <v>x</v>
      </c>
      <c r="CB125" s="5" t="str">
        <f t="shared" si="188"/>
        <v>x</v>
      </c>
      <c r="CC125" s="5" t="str">
        <f>"1993"</f>
        <v>1993</v>
      </c>
      <c r="CD125" s="5" t="str">
        <f>"12,00"</f>
        <v>12,00</v>
      </c>
      <c r="CE125" s="5" t="str">
        <f>"2025"</f>
        <v>2025</v>
      </c>
      <c r="CF125" s="5" t="str">
        <f>"1993"</f>
        <v>1993</v>
      </c>
      <c r="CG125" s="5" t="str">
        <f>"15,00"</f>
        <v>15,00</v>
      </c>
      <c r="CH125" s="5" t="str">
        <f>"2030"</f>
        <v>2030</v>
      </c>
      <c r="CI125" s="5" t="str">
        <f>"12,00"</f>
        <v>12,00</v>
      </c>
      <c r="CJ125" s="5" t="str">
        <f>"2044"</f>
        <v>2044</v>
      </c>
    </row>
    <row r="126" spans="1:88" ht="11.25" customHeight="1">
      <c r="A126" s="3" t="str">
        <f>"1.113"</f>
        <v>1.113</v>
      </c>
      <c r="B126" s="4" t="str">
        <f>"г. Грязовец, ул. Коммунистическая, д.51"</f>
        <v>г. Грязовец, ул. Коммунистическая, д.51</v>
      </c>
      <c r="C126" s="7" t="str">
        <f>"1972"</f>
        <v>1972</v>
      </c>
      <c r="D126" s="5" t="str">
        <f>"1972"</f>
        <v>1972</v>
      </c>
      <c r="E126" s="5" t="str">
        <f>"51,00"</f>
        <v>51,00</v>
      </c>
      <c r="F126" s="5" t="str">
        <f>"2018"</f>
        <v>2018</v>
      </c>
      <c r="G126" s="5" t="str">
        <f t="shared" si="181"/>
        <v>да</v>
      </c>
      <c r="H126" s="5" t="str">
        <f>""</f>
        <v/>
      </c>
      <c r="I126" s="5" t="str">
        <f>"51,00"</f>
        <v>51,00</v>
      </c>
      <c r="J126" s="5" t="str">
        <f>"2018"</f>
        <v>2018</v>
      </c>
      <c r="K126" s="5" t="str">
        <f t="shared" si="182"/>
        <v>да</v>
      </c>
      <c r="L126" s="5" t="str">
        <f>""</f>
        <v/>
      </c>
      <c r="M126" s="5" t="str">
        <f>"51,00"</f>
        <v>51,00</v>
      </c>
      <c r="N126" s="5" t="str">
        <f>"2018"</f>
        <v>2018</v>
      </c>
      <c r="O126" s="8" t="str">
        <f>"1972"</f>
        <v>1972</v>
      </c>
      <c r="P126" s="5" t="str">
        <f>"48,00"</f>
        <v>48,00</v>
      </c>
      <c r="Q126" s="5" t="str">
        <f>"2018"</f>
        <v>2018</v>
      </c>
      <c r="R126" s="5" t="str">
        <f>"да"</f>
        <v>да</v>
      </c>
      <c r="S126" s="5" t="str">
        <f>"1972"</f>
        <v>1972</v>
      </c>
      <c r="T126" s="5" t="str">
        <f>"х"</f>
        <v>х</v>
      </c>
      <c r="U126" s="5" t="str">
        <f>"2018"</f>
        <v>2018</v>
      </c>
      <c r="V126" s="5" t="str">
        <f>"да"</f>
        <v>да</v>
      </c>
      <c r="W126" s="5" t="str">
        <f t="shared" ref="W126:X129" si="193">"х"</f>
        <v>х</v>
      </c>
      <c r="X126" s="5" t="str">
        <f t="shared" si="193"/>
        <v>х</v>
      </c>
      <c r="Y126" s="9" t="str">
        <f>"2018"</f>
        <v>2018</v>
      </c>
      <c r="Z126" s="5" t="str">
        <f t="shared" ref="Z126:AJ126" si="194">"х"</f>
        <v>х</v>
      </c>
      <c r="AA126" s="5" t="str">
        <f t="shared" si="194"/>
        <v>х</v>
      </c>
      <c r="AB126" s="5" t="str">
        <f t="shared" si="194"/>
        <v>х</v>
      </c>
      <c r="AC126" s="5" t="str">
        <f t="shared" si="194"/>
        <v>х</v>
      </c>
      <c r="AD126" s="5" t="str">
        <f t="shared" si="194"/>
        <v>х</v>
      </c>
      <c r="AE126" s="5" t="str">
        <f t="shared" si="194"/>
        <v>х</v>
      </c>
      <c r="AF126" s="5" t="str">
        <f t="shared" si="194"/>
        <v>х</v>
      </c>
      <c r="AG126" s="5" t="str">
        <f t="shared" si="194"/>
        <v>х</v>
      </c>
      <c r="AH126" s="5" t="str">
        <f t="shared" si="194"/>
        <v>х</v>
      </c>
      <c r="AI126" s="5" t="str">
        <f t="shared" si="194"/>
        <v>х</v>
      </c>
      <c r="AJ126" s="5" t="str">
        <f t="shared" si="194"/>
        <v>х</v>
      </c>
      <c r="AK126" s="8" t="str">
        <f>"1972"</f>
        <v>1972</v>
      </c>
      <c r="AL126" s="5" t="str">
        <f>"30,00"</f>
        <v>30,00</v>
      </c>
      <c r="AM126" s="5" t="str">
        <f>"2018"</f>
        <v>2018</v>
      </c>
      <c r="AN126" s="5" t="str">
        <f>"да"</f>
        <v>да</v>
      </c>
      <c r="AO126" s="5" t="str">
        <f t="shared" ref="AO126:AP129" si="195">"х"</f>
        <v>х</v>
      </c>
      <c r="AP126" s="5" t="str">
        <f t="shared" si="195"/>
        <v>х</v>
      </c>
      <c r="AQ126" s="5" t="str">
        <f>"2018"</f>
        <v>2018</v>
      </c>
      <c r="AR126" s="5" t="str">
        <f>"да"</f>
        <v>да</v>
      </c>
      <c r="AS126" s="5" t="str">
        <f t="shared" ref="AS126:AT129" si="196">"х"</f>
        <v>х</v>
      </c>
      <c r="AT126" s="5" t="str">
        <f t="shared" si="196"/>
        <v>х</v>
      </c>
      <c r="AU126" s="5" t="str">
        <f>"2018"</f>
        <v>2018</v>
      </c>
      <c r="AV126" s="5" t="str">
        <f>"1972"</f>
        <v>1972</v>
      </c>
      <c r="AW126" s="5" t="str">
        <f>"30,00"</f>
        <v>30,00</v>
      </c>
      <c r="AX126" s="5" t="str">
        <f>"2026"</f>
        <v>2026</v>
      </c>
      <c r="AY126" s="5" t="str">
        <f t="shared" si="189"/>
        <v>нет</v>
      </c>
      <c r="AZ126" s="5" t="str">
        <f t="shared" si="173"/>
        <v>х</v>
      </c>
      <c r="BA126" s="5" t="str">
        <f t="shared" si="173"/>
        <v>х</v>
      </c>
      <c r="BB126" s="5" t="str">
        <f t="shared" si="173"/>
        <v>х</v>
      </c>
      <c r="BC126" s="5" t="str">
        <f t="shared" si="190"/>
        <v>нет</v>
      </c>
      <c r="BD126" s="5" t="str">
        <f t="shared" si="174"/>
        <v>х</v>
      </c>
      <c r="BE126" s="5" t="str">
        <f t="shared" si="174"/>
        <v>х</v>
      </c>
      <c r="BF126" s="5" t="str">
        <f t="shared" si="174"/>
        <v>х</v>
      </c>
      <c r="BG126" s="5" t="str">
        <f>"1972"</f>
        <v>1972</v>
      </c>
      <c r="BH126" s="5" t="str">
        <f>"30,00"</f>
        <v>30,00</v>
      </c>
      <c r="BI126" s="5" t="str">
        <f>"2027"</f>
        <v>2027</v>
      </c>
      <c r="BJ126" s="5" t="str">
        <f t="shared" si="191"/>
        <v>нет</v>
      </c>
      <c r="BK126" s="5" t="str">
        <f t="shared" si="175"/>
        <v>х</v>
      </c>
      <c r="BL126" s="5" t="str">
        <f t="shared" si="175"/>
        <v>х</v>
      </c>
      <c r="BM126" s="5" t="str">
        <f t="shared" si="175"/>
        <v>х</v>
      </c>
      <c r="BN126" s="5" t="str">
        <f t="shared" si="192"/>
        <v>нет</v>
      </c>
      <c r="BO126" s="5" t="str">
        <f t="shared" si="176"/>
        <v>х</v>
      </c>
      <c r="BP126" s="5" t="str">
        <f t="shared" si="176"/>
        <v>х</v>
      </c>
      <c r="BQ126" s="5" t="str">
        <f t="shared" si="176"/>
        <v>х</v>
      </c>
      <c r="BR126" s="5" t="str">
        <f>"1973"</f>
        <v>1973</v>
      </c>
      <c r="BS126" s="5" t="str">
        <f>"52,00"</f>
        <v>52,00</v>
      </c>
      <c r="BT126" s="5" t="str">
        <f>"2018"</f>
        <v>2018</v>
      </c>
      <c r="BU126" s="5" t="str">
        <f t="shared" si="107"/>
        <v>нет</v>
      </c>
      <c r="BV126" s="5" t="str">
        <f t="shared" si="165"/>
        <v>x</v>
      </c>
      <c r="BW126" s="5" t="str">
        <f t="shared" si="165"/>
        <v>x</v>
      </c>
      <c r="BX126" s="5" t="str">
        <f t="shared" si="165"/>
        <v>x</v>
      </c>
      <c r="BY126" s="5" t="str">
        <f t="shared" si="155"/>
        <v>нет</v>
      </c>
      <c r="BZ126" s="5" t="str">
        <f>"1973"</f>
        <v>1973</v>
      </c>
      <c r="CA126" s="5" t="str">
        <f>"31,00"</f>
        <v>31,00</v>
      </c>
      <c r="CB126" s="5" t="str">
        <f>"2025"</f>
        <v>2025</v>
      </c>
      <c r="CC126" s="5" t="str">
        <f>"1973"</f>
        <v>1973</v>
      </c>
      <c r="CD126" s="5" t="str">
        <f>"30,00"</f>
        <v>30,00</v>
      </c>
      <c r="CE126" s="5" t="str">
        <f>"2020"</f>
        <v>2020</v>
      </c>
      <c r="CF126" s="5" t="str">
        <f>"1973"</f>
        <v>1973</v>
      </c>
      <c r="CG126" s="5" t="str">
        <f>"30,00"</f>
        <v>30,00</v>
      </c>
      <c r="CH126" s="5" t="str">
        <f>"2020"</f>
        <v>2020</v>
      </c>
      <c r="CI126" s="5" t="str">
        <f>"31,00"</f>
        <v>31,00</v>
      </c>
      <c r="CJ126" s="5" t="str">
        <f>"2042"</f>
        <v>2042</v>
      </c>
    </row>
    <row r="127" spans="1:88" ht="11.25" customHeight="1">
      <c r="A127" s="3" t="str">
        <f>"1.114"</f>
        <v>1.114</v>
      </c>
      <c r="B127" s="4" t="str">
        <f>"г. Грязовец, ул. Коммунистическая, д.53"</f>
        <v>г. Грязовец, ул. Коммунистическая, д.53</v>
      </c>
      <c r="C127" s="7" t="str">
        <f>"1974"</f>
        <v>1974</v>
      </c>
      <c r="D127" s="5" t="str">
        <f>"1974"</f>
        <v>1974</v>
      </c>
      <c r="E127" s="5" t="str">
        <f>"20,00"</f>
        <v>20,00</v>
      </c>
      <c r="F127" s="5" t="str">
        <f>"2018"</f>
        <v>2018</v>
      </c>
      <c r="G127" s="5" t="str">
        <f t="shared" si="181"/>
        <v>да</v>
      </c>
      <c r="H127" s="5" t="str">
        <f>""</f>
        <v/>
      </c>
      <c r="I127" s="5" t="str">
        <f>"20,00"</f>
        <v>20,00</v>
      </c>
      <c r="J127" s="5" t="str">
        <f>"2018"</f>
        <v>2018</v>
      </c>
      <c r="K127" s="5" t="str">
        <f t="shared" si="182"/>
        <v>да</v>
      </c>
      <c r="L127" s="5" t="str">
        <f>""</f>
        <v/>
      </c>
      <c r="M127" s="5" t="str">
        <f>"20,00"</f>
        <v>20,00</v>
      </c>
      <c r="N127" s="5" t="str">
        <f>"2018"</f>
        <v>2018</v>
      </c>
      <c r="O127" s="8" t="str">
        <f>"1974"</f>
        <v>1974</v>
      </c>
      <c r="P127" s="5" t="str">
        <f>"52,00"</f>
        <v>52,00</v>
      </c>
      <c r="Q127" s="5" t="str">
        <f>"2018"</f>
        <v>2018</v>
      </c>
      <c r="R127" s="5" t="str">
        <f>"нет"</f>
        <v>нет</v>
      </c>
      <c r="S127" s="5" t="str">
        <f>"х"</f>
        <v>х</v>
      </c>
      <c r="T127" s="5" t="str">
        <f>"х"</f>
        <v>х</v>
      </c>
      <c r="U127" s="5" t="str">
        <f>"х"</f>
        <v>х</v>
      </c>
      <c r="V127" s="5" t="str">
        <f>"нет"</f>
        <v>нет</v>
      </c>
      <c r="W127" s="5" t="str">
        <f t="shared" si="193"/>
        <v>х</v>
      </c>
      <c r="X127" s="5" t="str">
        <f t="shared" si="193"/>
        <v>х</v>
      </c>
      <c r="Y127" s="9" t="str">
        <f>"х"</f>
        <v>х</v>
      </c>
      <c r="Z127" s="5" t="str">
        <f>"1974"</f>
        <v>1974</v>
      </c>
      <c r="AA127" s="5" t="str">
        <f>"25,00"</f>
        <v>25,00</v>
      </c>
      <c r="AB127" s="5" t="str">
        <f>"2020"</f>
        <v>2020</v>
      </c>
      <c r="AC127" s="5" t="str">
        <f>"нет"</f>
        <v>нет</v>
      </c>
      <c r="AD127" s="5" t="str">
        <f>""</f>
        <v/>
      </c>
      <c r="AE127" s="5" t="str">
        <f>""</f>
        <v/>
      </c>
      <c r="AF127" s="5" t="str">
        <f>""</f>
        <v/>
      </c>
      <c r="AG127" s="5" t="str">
        <f>"нет"</f>
        <v>нет</v>
      </c>
      <c r="AH127" s="5" t="str">
        <f>""</f>
        <v/>
      </c>
      <c r="AI127" s="5" t="str">
        <f>""</f>
        <v/>
      </c>
      <c r="AJ127" s="5" t="str">
        <f>""</f>
        <v/>
      </c>
      <c r="AK127" s="8" t="str">
        <f>"1974"</f>
        <v>1974</v>
      </c>
      <c r="AL127" s="5" t="str">
        <f>"51,00"</f>
        <v>51,00</v>
      </c>
      <c r="AM127" s="5" t="str">
        <f>"2018"</f>
        <v>2018</v>
      </c>
      <c r="AN127" s="5" t="str">
        <f>"нет"</f>
        <v>нет</v>
      </c>
      <c r="AO127" s="5" t="str">
        <f t="shared" si="195"/>
        <v>х</v>
      </c>
      <c r="AP127" s="5" t="str">
        <f t="shared" si="195"/>
        <v>х</v>
      </c>
      <c r="AQ127" s="5" t="str">
        <f>"х"</f>
        <v>х</v>
      </c>
      <c r="AR127" s="5" t="str">
        <f>"нет"</f>
        <v>нет</v>
      </c>
      <c r="AS127" s="5" t="str">
        <f t="shared" si="196"/>
        <v>х</v>
      </c>
      <c r="AT127" s="5" t="str">
        <f t="shared" si="196"/>
        <v>х</v>
      </c>
      <c r="AU127" s="5" t="str">
        <f>"х"</f>
        <v>х</v>
      </c>
      <c r="AV127" s="5" t="str">
        <f>"1974"</f>
        <v>1974</v>
      </c>
      <c r="AW127" s="5" t="str">
        <f>"51,00"</f>
        <v>51,00</v>
      </c>
      <c r="AX127" s="5" t="str">
        <f>"2018"</f>
        <v>2018</v>
      </c>
      <c r="AY127" s="5" t="str">
        <f t="shared" si="189"/>
        <v>нет</v>
      </c>
      <c r="AZ127" s="5" t="str">
        <f t="shared" si="173"/>
        <v>х</v>
      </c>
      <c r="BA127" s="5" t="str">
        <f t="shared" si="173"/>
        <v>х</v>
      </c>
      <c r="BB127" s="5" t="str">
        <f t="shared" si="173"/>
        <v>х</v>
      </c>
      <c r="BC127" s="5" t="str">
        <f t="shared" si="190"/>
        <v>нет</v>
      </c>
      <c r="BD127" s="5" t="str">
        <f t="shared" si="174"/>
        <v>х</v>
      </c>
      <c r="BE127" s="5" t="str">
        <f t="shared" si="174"/>
        <v>х</v>
      </c>
      <c r="BF127" s="5" t="str">
        <f t="shared" si="174"/>
        <v>х</v>
      </c>
      <c r="BG127" s="5" t="str">
        <f>"1974"</f>
        <v>1974</v>
      </c>
      <c r="BH127" s="5" t="str">
        <f>"40,00"</f>
        <v>40,00</v>
      </c>
      <c r="BI127" s="5" t="str">
        <f>"2025"</f>
        <v>2025</v>
      </c>
      <c r="BJ127" s="5" t="str">
        <f t="shared" si="191"/>
        <v>нет</v>
      </c>
      <c r="BK127" s="5" t="str">
        <f t="shared" si="175"/>
        <v>х</v>
      </c>
      <c r="BL127" s="5" t="str">
        <f t="shared" si="175"/>
        <v>х</v>
      </c>
      <c r="BM127" s="5" t="str">
        <f t="shared" si="175"/>
        <v>х</v>
      </c>
      <c r="BN127" s="5" t="str">
        <f t="shared" si="192"/>
        <v>нет</v>
      </c>
      <c r="BO127" s="5" t="str">
        <f t="shared" si="176"/>
        <v>х</v>
      </c>
      <c r="BP127" s="5" t="str">
        <f t="shared" si="176"/>
        <v>х</v>
      </c>
      <c r="BQ127" s="5" t="str">
        <f t="shared" si="176"/>
        <v>х</v>
      </c>
      <c r="BR127" s="5" t="str">
        <f>"1974"</f>
        <v>1974</v>
      </c>
      <c r="BS127" s="5" t="str">
        <f>"51,00"</f>
        <v>51,00</v>
      </c>
      <c r="BT127" s="5" t="str">
        <f>"2018"</f>
        <v>2018</v>
      </c>
      <c r="BU127" s="5" t="str">
        <f t="shared" si="107"/>
        <v>нет</v>
      </c>
      <c r="BV127" s="5" t="str">
        <f t="shared" si="165"/>
        <v>x</v>
      </c>
      <c r="BW127" s="5" t="str">
        <f t="shared" si="165"/>
        <v>x</v>
      </c>
      <c r="BX127" s="5" t="str">
        <f t="shared" si="165"/>
        <v>x</v>
      </c>
      <c r="BY127" s="5" t="str">
        <f t="shared" si="155"/>
        <v>нет</v>
      </c>
      <c r="BZ127" s="5" t="str">
        <f>"x"</f>
        <v>x</v>
      </c>
      <c r="CA127" s="5" t="str">
        <f>"x"</f>
        <v>x</v>
      </c>
      <c r="CB127" s="5" t="str">
        <f>"x"</f>
        <v>x</v>
      </c>
      <c r="CC127" s="5" t="str">
        <f>"1974"</f>
        <v>1974</v>
      </c>
      <c r="CD127" s="5" t="str">
        <f>"25,00"</f>
        <v>25,00</v>
      </c>
      <c r="CE127" s="5" t="str">
        <f>"2020"</f>
        <v>2020</v>
      </c>
      <c r="CF127" s="5" t="str">
        <f>"1974"</f>
        <v>1974</v>
      </c>
      <c r="CG127" s="5" t="str">
        <f>"25,00"</f>
        <v>25,00</v>
      </c>
      <c r="CH127" s="5" t="str">
        <f>"2020"</f>
        <v>2020</v>
      </c>
      <c r="CI127" s="5" t="str">
        <f>"25,00"</f>
        <v>25,00</v>
      </c>
      <c r="CJ127" s="5" t="str">
        <f>"2025"</f>
        <v>2025</v>
      </c>
    </row>
    <row r="128" spans="1:88" ht="11.25" customHeight="1">
      <c r="A128" s="3" t="str">
        <f>"1.115"</f>
        <v>1.115</v>
      </c>
      <c r="B128" s="4" t="str">
        <f>"г. Грязовец, ул. Коммунистическая, д.55"</f>
        <v>г. Грязовец, ул. Коммунистическая, д.55</v>
      </c>
      <c r="C128" s="7" t="str">
        <f>"1977"</f>
        <v>1977</v>
      </c>
      <c r="D128" s="5" t="str">
        <f>"1977"</f>
        <v>1977</v>
      </c>
      <c r="E128" s="5" t="str">
        <f>"35,00"</f>
        <v>35,00</v>
      </c>
      <c r="F128" s="5" t="str">
        <f>"2025"</f>
        <v>2025</v>
      </c>
      <c r="G128" s="5" t="str">
        <f t="shared" si="181"/>
        <v>да</v>
      </c>
      <c r="H128" s="5" t="str">
        <f>""</f>
        <v/>
      </c>
      <c r="I128" s="5" t="str">
        <f>"30,00"</f>
        <v>30,00</v>
      </c>
      <c r="J128" s="5" t="str">
        <f>"2025"</f>
        <v>2025</v>
      </c>
      <c r="K128" s="5" t="str">
        <f t="shared" si="182"/>
        <v>да</v>
      </c>
      <c r="L128" s="5" t="str">
        <f>""</f>
        <v/>
      </c>
      <c r="M128" s="5" t="str">
        <f>"30,00"</f>
        <v>30,00</v>
      </c>
      <c r="N128" s="5" t="str">
        <f>"2018"</f>
        <v>2018</v>
      </c>
      <c r="O128" s="8" t="str">
        <f>"1977"</f>
        <v>1977</v>
      </c>
      <c r="P128" s="5" t="str">
        <f>"27,00"</f>
        <v>27,00</v>
      </c>
      <c r="Q128" s="5" t="str">
        <f>"2021"</f>
        <v>2021</v>
      </c>
      <c r="R128" s="5" t="str">
        <f>"нет"</f>
        <v>нет</v>
      </c>
      <c r="S128" s="5" t="str">
        <f>"х"</f>
        <v>х</v>
      </c>
      <c r="T128" s="5" t="str">
        <f>"х"</f>
        <v>х</v>
      </c>
      <c r="U128" s="5" t="str">
        <f>"х"</f>
        <v>х</v>
      </c>
      <c r="V128" s="5" t="str">
        <f>"нет"</f>
        <v>нет</v>
      </c>
      <c r="W128" s="5" t="str">
        <f t="shared" si="193"/>
        <v>х</v>
      </c>
      <c r="X128" s="5" t="str">
        <f t="shared" si="193"/>
        <v>х</v>
      </c>
      <c r="Y128" s="9" t="str">
        <f>"х"</f>
        <v>х</v>
      </c>
      <c r="Z128" s="5" t="str">
        <f>"1977"</f>
        <v>1977</v>
      </c>
      <c r="AA128" s="5" t="str">
        <f>"27,00"</f>
        <v>27,00</v>
      </c>
      <c r="AB128" s="5" t="str">
        <f>"2024"</f>
        <v>2024</v>
      </c>
      <c r="AC128" s="5" t="str">
        <f>"нет"</f>
        <v>нет</v>
      </c>
      <c r="AD128" s="5" t="str">
        <f>"х"</f>
        <v>х</v>
      </c>
      <c r="AE128" s="5" t="str">
        <f>"х"</f>
        <v>х</v>
      </c>
      <c r="AF128" s="5" t="str">
        <f>"х"</f>
        <v>х</v>
      </c>
      <c r="AG128" s="5" t="str">
        <f>"нет"</f>
        <v>нет</v>
      </c>
      <c r="AH128" s="5" t="str">
        <f>"х"</f>
        <v>х</v>
      </c>
      <c r="AI128" s="5" t="str">
        <f>"х"</f>
        <v>х</v>
      </c>
      <c r="AJ128" s="5" t="str">
        <f>"х"</f>
        <v>х</v>
      </c>
      <c r="AK128" s="8" t="str">
        <f>"1977"</f>
        <v>1977</v>
      </c>
      <c r="AL128" s="5" t="str">
        <f>"28,00"</f>
        <v>28,00</v>
      </c>
      <c r="AM128" s="5" t="str">
        <f>"2025"</f>
        <v>2025</v>
      </c>
      <c r="AN128" s="5" t="str">
        <f>"нет"</f>
        <v>нет</v>
      </c>
      <c r="AO128" s="5" t="str">
        <f t="shared" si="195"/>
        <v>х</v>
      </c>
      <c r="AP128" s="5" t="str">
        <f t="shared" si="195"/>
        <v>х</v>
      </c>
      <c r="AQ128" s="5" t="str">
        <f>"х"</f>
        <v>х</v>
      </c>
      <c r="AR128" s="5" t="str">
        <f>"нет"</f>
        <v>нет</v>
      </c>
      <c r="AS128" s="5" t="str">
        <f t="shared" si="196"/>
        <v>х</v>
      </c>
      <c r="AT128" s="5" t="str">
        <f t="shared" si="196"/>
        <v>х</v>
      </c>
      <c r="AU128" s="5" t="str">
        <f>"х"</f>
        <v>х</v>
      </c>
      <c r="AV128" s="5" t="str">
        <f>"1977"</f>
        <v>1977</v>
      </c>
      <c r="AW128" s="5" t="str">
        <f>"28,00"</f>
        <v>28,00</v>
      </c>
      <c r="AX128" s="5" t="str">
        <f>"2025"</f>
        <v>2025</v>
      </c>
      <c r="AY128" s="5" t="str">
        <f t="shared" si="189"/>
        <v>нет</v>
      </c>
      <c r="AZ128" s="5" t="str">
        <f t="shared" si="173"/>
        <v>х</v>
      </c>
      <c r="BA128" s="5" t="str">
        <f t="shared" si="173"/>
        <v>х</v>
      </c>
      <c r="BB128" s="5" t="str">
        <f t="shared" si="173"/>
        <v>х</v>
      </c>
      <c r="BC128" s="5" t="str">
        <f t="shared" si="190"/>
        <v>нет</v>
      </c>
      <c r="BD128" s="5" t="str">
        <f t="shared" si="174"/>
        <v>х</v>
      </c>
      <c r="BE128" s="5" t="str">
        <f t="shared" si="174"/>
        <v>х</v>
      </c>
      <c r="BF128" s="5" t="str">
        <f t="shared" si="174"/>
        <v>х</v>
      </c>
      <c r="BG128" s="5" t="str">
        <f>"1977"</f>
        <v>1977</v>
      </c>
      <c r="BH128" s="5" t="str">
        <f>"27,00"</f>
        <v>27,00</v>
      </c>
      <c r="BI128" s="5" t="str">
        <f>"2025"</f>
        <v>2025</v>
      </c>
      <c r="BJ128" s="5" t="str">
        <f t="shared" si="191"/>
        <v>нет</v>
      </c>
      <c r="BK128" s="5" t="str">
        <f t="shared" si="175"/>
        <v>х</v>
      </c>
      <c r="BL128" s="5" t="str">
        <f t="shared" si="175"/>
        <v>х</v>
      </c>
      <c r="BM128" s="5" t="str">
        <f t="shared" si="175"/>
        <v>х</v>
      </c>
      <c r="BN128" s="5" t="str">
        <f t="shared" si="192"/>
        <v>нет</v>
      </c>
      <c r="BO128" s="5" t="str">
        <f t="shared" si="176"/>
        <v>х</v>
      </c>
      <c r="BP128" s="5" t="str">
        <f t="shared" si="176"/>
        <v>х</v>
      </c>
      <c r="BQ128" s="5" t="str">
        <f t="shared" si="176"/>
        <v>х</v>
      </c>
      <c r="BR128" s="5" t="str">
        <f>"1977"</f>
        <v>1977</v>
      </c>
      <c r="BS128" s="5" t="str">
        <f>"51,00"</f>
        <v>51,00</v>
      </c>
      <c r="BT128" s="5" t="str">
        <f>"2018"</f>
        <v>2018</v>
      </c>
      <c r="BU128" s="5" t="str">
        <f t="shared" si="107"/>
        <v>нет</v>
      </c>
      <c r="BV128" s="5" t="str">
        <f t="shared" si="165"/>
        <v>x</v>
      </c>
      <c r="BW128" s="5" t="str">
        <f t="shared" si="165"/>
        <v>x</v>
      </c>
      <c r="BX128" s="5" t="str">
        <f t="shared" si="165"/>
        <v>x</v>
      </c>
      <c r="BY128" s="5" t="str">
        <f t="shared" si="155"/>
        <v>нет</v>
      </c>
      <c r="BZ128" s="5" t="str">
        <f>"1977"</f>
        <v>1977</v>
      </c>
      <c r="CA128" s="5" t="str">
        <f>"28,00"</f>
        <v>28,00</v>
      </c>
      <c r="CB128" s="5" t="str">
        <f>"2025"</f>
        <v>2025</v>
      </c>
      <c r="CC128" s="5" t="str">
        <f>"1977"</f>
        <v>1977</v>
      </c>
      <c r="CD128" s="5" t="str">
        <f>"28,00"</f>
        <v>28,00</v>
      </c>
      <c r="CE128" s="5" t="str">
        <f>"2024"</f>
        <v>2024</v>
      </c>
      <c r="CF128" s="5" t="str">
        <f>"1977"</f>
        <v>1977</v>
      </c>
      <c r="CG128" s="5" t="str">
        <f>"28,00"</f>
        <v>28,00</v>
      </c>
      <c r="CH128" s="5" t="str">
        <f>"2024"</f>
        <v>2024</v>
      </c>
      <c r="CI128" s="5" t="str">
        <f>"28,00"</f>
        <v>28,00</v>
      </c>
      <c r="CJ128" s="5" t="str">
        <f>"2040"</f>
        <v>2040</v>
      </c>
    </row>
    <row r="129" spans="1:88" ht="11.25" customHeight="1">
      <c r="A129" s="3" t="str">
        <f>"1.116"</f>
        <v>1.116</v>
      </c>
      <c r="B129" s="4" t="str">
        <f>"г. Грязовец, ул. Коммунистическая, д.57"</f>
        <v>г. Грязовец, ул. Коммунистическая, д.57</v>
      </c>
      <c r="C129" s="7" t="str">
        <f>"1980"</f>
        <v>1980</v>
      </c>
      <c r="D129" s="5" t="str">
        <f>"1980"</f>
        <v>1980</v>
      </c>
      <c r="E129" s="5" t="str">
        <f>"20,00"</f>
        <v>20,00</v>
      </c>
      <c r="F129" s="5" t="str">
        <f>"2025"</f>
        <v>2025</v>
      </c>
      <c r="G129" s="5" t="str">
        <f t="shared" si="181"/>
        <v>да</v>
      </c>
      <c r="H129" s="5" t="str">
        <f>""</f>
        <v/>
      </c>
      <c r="I129" s="5" t="str">
        <f>"15,00"</f>
        <v>15,00</v>
      </c>
      <c r="J129" s="5" t="str">
        <f>"2025"</f>
        <v>2025</v>
      </c>
      <c r="K129" s="5" t="str">
        <f t="shared" si="182"/>
        <v>да</v>
      </c>
      <c r="L129" s="5" t="str">
        <f>""</f>
        <v/>
      </c>
      <c r="M129" s="5" t="str">
        <f>"15,00"</f>
        <v>15,00</v>
      </c>
      <c r="N129" s="5" t="str">
        <f>"2025"</f>
        <v>2025</v>
      </c>
      <c r="O129" s="8" t="str">
        <f>"х"</f>
        <v>х</v>
      </c>
      <c r="P129" s="5" t="str">
        <f>"х"</f>
        <v>х</v>
      </c>
      <c r="Q129" s="5" t="str">
        <f>"х"</f>
        <v>х</v>
      </c>
      <c r="R129" s="5" t="str">
        <f>"нет"</f>
        <v>нет</v>
      </c>
      <c r="S129" s="5" t="str">
        <f>"х"</f>
        <v>х</v>
      </c>
      <c r="T129" s="5" t="str">
        <f>"х"</f>
        <v>х</v>
      </c>
      <c r="U129" s="5" t="str">
        <f>"х"</f>
        <v>х</v>
      </c>
      <c r="V129" s="5" t="str">
        <f>"нет"</f>
        <v>нет</v>
      </c>
      <c r="W129" s="5" t="str">
        <f t="shared" si="193"/>
        <v>х</v>
      </c>
      <c r="X129" s="5" t="str">
        <f t="shared" si="193"/>
        <v>х</v>
      </c>
      <c r="Y129" s="9" t="str">
        <f>"х"</f>
        <v>х</v>
      </c>
      <c r="Z129" s="5" t="str">
        <f>"1980"</f>
        <v>1980</v>
      </c>
      <c r="AA129" s="5" t="str">
        <f>"17,00"</f>
        <v>17,00</v>
      </c>
      <c r="AB129" s="5" t="str">
        <f>"2025"</f>
        <v>2025</v>
      </c>
      <c r="AC129" s="5" t="str">
        <f>"нет"</f>
        <v>нет</v>
      </c>
      <c r="AD129" s="5" t="str">
        <f>""</f>
        <v/>
      </c>
      <c r="AE129" s="5" t="str">
        <f>""</f>
        <v/>
      </c>
      <c r="AF129" s="5" t="str">
        <f>""</f>
        <v/>
      </c>
      <c r="AG129" s="5" t="str">
        <f>"нет"</f>
        <v>нет</v>
      </c>
      <c r="AH129" s="5" t="str">
        <f>""</f>
        <v/>
      </c>
      <c r="AI129" s="5" t="str">
        <f>""</f>
        <v/>
      </c>
      <c r="AJ129" s="5" t="str">
        <f>""</f>
        <v/>
      </c>
      <c r="AK129" s="8" t="str">
        <f>"х"</f>
        <v>х</v>
      </c>
      <c r="AL129" s="5" t="str">
        <f>"х"</f>
        <v>х</v>
      </c>
      <c r="AM129" s="5" t="str">
        <f>"х"</f>
        <v>х</v>
      </c>
      <c r="AN129" s="5" t="str">
        <f>"нет"</f>
        <v>нет</v>
      </c>
      <c r="AO129" s="5" t="str">
        <f t="shared" si="195"/>
        <v>х</v>
      </c>
      <c r="AP129" s="5" t="str">
        <f t="shared" si="195"/>
        <v>х</v>
      </c>
      <c r="AQ129" s="5" t="str">
        <f>"х"</f>
        <v>х</v>
      </c>
      <c r="AR129" s="5" t="str">
        <f>"нет"</f>
        <v>нет</v>
      </c>
      <c r="AS129" s="5" t="str">
        <f t="shared" si="196"/>
        <v>х</v>
      </c>
      <c r="AT129" s="5" t="str">
        <f t="shared" si="196"/>
        <v>х</v>
      </c>
      <c r="AU129" s="5" t="str">
        <f>"х"</f>
        <v>х</v>
      </c>
      <c r="AV129" s="5" t="str">
        <f>"х"</f>
        <v>х</v>
      </c>
      <c r="AW129" s="5" t="str">
        <f>"х"</f>
        <v>х</v>
      </c>
      <c r="AX129" s="5" t="str">
        <f>"х"</f>
        <v>х</v>
      </c>
      <c r="AY129" s="5" t="str">
        <f t="shared" si="189"/>
        <v>нет</v>
      </c>
      <c r="AZ129" s="5" t="str">
        <f t="shared" si="173"/>
        <v>х</v>
      </c>
      <c r="BA129" s="5" t="str">
        <f t="shared" si="173"/>
        <v>х</v>
      </c>
      <c r="BB129" s="5" t="str">
        <f t="shared" si="173"/>
        <v>х</v>
      </c>
      <c r="BC129" s="5" t="str">
        <f t="shared" si="190"/>
        <v>нет</v>
      </c>
      <c r="BD129" s="5" t="str">
        <f t="shared" si="174"/>
        <v>х</v>
      </c>
      <c r="BE129" s="5" t="str">
        <f t="shared" si="174"/>
        <v>х</v>
      </c>
      <c r="BF129" s="5" t="str">
        <f t="shared" si="174"/>
        <v>х</v>
      </c>
      <c r="BG129" s="5" t="str">
        <f>"х"</f>
        <v>х</v>
      </c>
      <c r="BH129" s="5" t="str">
        <f>"х"</f>
        <v>х</v>
      </c>
      <c r="BI129" s="5" t="str">
        <f>"х"</f>
        <v>х</v>
      </c>
      <c r="BJ129" s="5" t="str">
        <f t="shared" si="191"/>
        <v>нет</v>
      </c>
      <c r="BK129" s="5" t="str">
        <f t="shared" si="175"/>
        <v>х</v>
      </c>
      <c r="BL129" s="5" t="str">
        <f t="shared" si="175"/>
        <v>х</v>
      </c>
      <c r="BM129" s="5" t="str">
        <f t="shared" si="175"/>
        <v>х</v>
      </c>
      <c r="BN129" s="5" t="str">
        <f t="shared" si="192"/>
        <v>нет</v>
      </c>
      <c r="BO129" s="5" t="str">
        <f t="shared" si="176"/>
        <v>х</v>
      </c>
      <c r="BP129" s="5" t="str">
        <f t="shared" si="176"/>
        <v>х</v>
      </c>
      <c r="BQ129" s="5" t="str">
        <f t="shared" si="176"/>
        <v>х</v>
      </c>
      <c r="BR129" s="5" t="str">
        <f>"1980"</f>
        <v>1980</v>
      </c>
      <c r="BS129" s="5" t="str">
        <f>"20,00"</f>
        <v>20,00</v>
      </c>
      <c r="BT129" s="5" t="str">
        <f>"2025"</f>
        <v>2025</v>
      </c>
      <c r="BU129" s="5" t="str">
        <f t="shared" si="107"/>
        <v>нет</v>
      </c>
      <c r="BV129" s="5" t="str">
        <f t="shared" si="165"/>
        <v>x</v>
      </c>
      <c r="BW129" s="5" t="str">
        <f t="shared" si="165"/>
        <v>x</v>
      </c>
      <c r="BX129" s="5" t="str">
        <f t="shared" si="165"/>
        <v>x</v>
      </c>
      <c r="BY129" s="5" t="str">
        <f t="shared" si="155"/>
        <v>нет</v>
      </c>
      <c r="BZ129" s="5" t="str">
        <f>"x"</f>
        <v>x</v>
      </c>
      <c r="CA129" s="5" t="str">
        <f>"x"</f>
        <v>x</v>
      </c>
      <c r="CB129" s="5" t="str">
        <f>"x"</f>
        <v>x</v>
      </c>
      <c r="CC129" s="5" t="str">
        <f>"1980"</f>
        <v>1980</v>
      </c>
      <c r="CD129" s="5" t="str">
        <f>"20,00"</f>
        <v>20,00</v>
      </c>
      <c r="CE129" s="5" t="str">
        <f>"2025"</f>
        <v>2025</v>
      </c>
      <c r="CF129" s="5" t="str">
        <f>"1980"</f>
        <v>1980</v>
      </c>
      <c r="CG129" s="5" t="str">
        <f>"20,00"</f>
        <v>20,00</v>
      </c>
      <c r="CH129" s="5" t="str">
        <f>"2025"</f>
        <v>2025</v>
      </c>
      <c r="CI129" s="5" t="str">
        <f>"17,00"</f>
        <v>17,00</v>
      </c>
      <c r="CJ129" s="5" t="str">
        <f>"2025"</f>
        <v>2025</v>
      </c>
    </row>
    <row r="130" spans="1:88" ht="11.25" customHeight="1">
      <c r="A130" s="3" t="str">
        <f>"1.117"</f>
        <v>1.117</v>
      </c>
      <c r="B130" s="4" t="str">
        <f>"г. Грязовец, ул. Коммунистическая, д.61"</f>
        <v>г. Грязовец, ул. Коммунистическая, д.61</v>
      </c>
      <c r="C130" s="7" t="str">
        <f>"2005"</f>
        <v>2005</v>
      </c>
      <c r="D130" s="5" t="str">
        <f>"2005"</f>
        <v>2005</v>
      </c>
      <c r="E130" s="5" t="str">
        <f>"2,00"</f>
        <v>2,00</v>
      </c>
      <c r="F130" s="5" t="str">
        <f>"2030"</f>
        <v>2030</v>
      </c>
      <c r="G130" s="5" t="str">
        <f t="shared" si="181"/>
        <v>да</v>
      </c>
      <c r="H130" s="5" t="str">
        <f>""</f>
        <v/>
      </c>
      <c r="I130" s="5" t="str">
        <f>"2,00"</f>
        <v>2,00</v>
      </c>
      <c r="J130" s="5" t="str">
        <f>"2030"</f>
        <v>2030</v>
      </c>
      <c r="K130" s="5" t="str">
        <f t="shared" si="182"/>
        <v>да</v>
      </c>
      <c r="L130" s="5" t="str">
        <f>""</f>
        <v/>
      </c>
      <c r="M130" s="5" t="str">
        <f>"2,00"</f>
        <v>2,00</v>
      </c>
      <c r="N130" s="5" t="str">
        <f>"2030"</f>
        <v>2030</v>
      </c>
      <c r="O130" s="8" t="str">
        <f>"2005"</f>
        <v>2005</v>
      </c>
      <c r="P130" s="5" t="str">
        <f>"2,00"</f>
        <v>2,00</v>
      </c>
      <c r="Q130" s="5" t="str">
        <f>"2030"</f>
        <v>2030</v>
      </c>
      <c r="R130" s="5" t="str">
        <f>"да"</f>
        <v>да</v>
      </c>
      <c r="S130" s="5" t="str">
        <f>""</f>
        <v/>
      </c>
      <c r="T130" s="5" t="str">
        <f>""</f>
        <v/>
      </c>
      <c r="U130" s="5" t="str">
        <f>""</f>
        <v/>
      </c>
      <c r="V130" s="5" t="str">
        <f>"да"</f>
        <v>да</v>
      </c>
      <c r="W130" s="5" t="str">
        <f>""</f>
        <v/>
      </c>
      <c r="X130" s="5" t="str">
        <f>""</f>
        <v/>
      </c>
      <c r="Y130" s="9" t="str">
        <f>""</f>
        <v/>
      </c>
      <c r="Z130" s="5" t="str">
        <f>"2005"</f>
        <v>2005</v>
      </c>
      <c r="AA130" s="5" t="str">
        <f>"1,00"</f>
        <v>1,00</v>
      </c>
      <c r="AB130" s="5" t="str">
        <f>"2030"</f>
        <v>2030</v>
      </c>
      <c r="AC130" s="5" t="str">
        <f>"да"</f>
        <v>да</v>
      </c>
      <c r="AD130" s="5" t="str">
        <f>""</f>
        <v/>
      </c>
      <c r="AE130" s="5" t="str">
        <f>"1,00"</f>
        <v>1,00</v>
      </c>
      <c r="AF130" s="5" t="str">
        <f>"2030"</f>
        <v>2030</v>
      </c>
      <c r="AG130" s="5" t="str">
        <f>"да"</f>
        <v>да</v>
      </c>
      <c r="AH130" s="5" t="str">
        <f>""</f>
        <v/>
      </c>
      <c r="AI130" s="5" t="str">
        <f>"1,00"</f>
        <v>1,00</v>
      </c>
      <c r="AJ130" s="5" t="str">
        <f>"2030"</f>
        <v>2030</v>
      </c>
      <c r="AK130" s="8" t="str">
        <f>"2005"</f>
        <v>2005</v>
      </c>
      <c r="AL130" s="5" t="str">
        <f>"2,00"</f>
        <v>2,00</v>
      </c>
      <c r="AM130" s="5" t="str">
        <f>"2030"</f>
        <v>2030</v>
      </c>
      <c r="AN130" s="5" t="str">
        <f>"да"</f>
        <v>да</v>
      </c>
      <c r="AO130" s="5" t="str">
        <f>""</f>
        <v/>
      </c>
      <c r="AP130" s="5" t="str">
        <f>"2,00"</f>
        <v>2,00</v>
      </c>
      <c r="AQ130" s="5" t="str">
        <f>"2030"</f>
        <v>2030</v>
      </c>
      <c r="AR130" s="5" t="str">
        <f>"да"</f>
        <v>да</v>
      </c>
      <c r="AS130" s="5" t="str">
        <f>""</f>
        <v/>
      </c>
      <c r="AT130" s="5" t="str">
        <f>"2,00"</f>
        <v>2,00</v>
      </c>
      <c r="AU130" s="5" t="str">
        <f>"2030"</f>
        <v>2030</v>
      </c>
      <c r="AV130" s="5" t="str">
        <f>"2005"</f>
        <v>2005</v>
      </c>
      <c r="AW130" s="5" t="str">
        <f>"2,00"</f>
        <v>2,00</v>
      </c>
      <c r="AX130" s="5" t="str">
        <f>"2030"</f>
        <v>2030</v>
      </c>
      <c r="AY130" s="5" t="str">
        <f t="shared" si="189"/>
        <v>нет</v>
      </c>
      <c r="AZ130" s="5" t="str">
        <f>""</f>
        <v/>
      </c>
      <c r="BA130" s="5" t="str">
        <f>""</f>
        <v/>
      </c>
      <c r="BB130" s="5" t="str">
        <f>""</f>
        <v/>
      </c>
      <c r="BC130" s="5" t="str">
        <f t="shared" si="190"/>
        <v>нет</v>
      </c>
      <c r="BD130" s="5" t="str">
        <f>""</f>
        <v/>
      </c>
      <c r="BE130" s="5" t="str">
        <f>""</f>
        <v/>
      </c>
      <c r="BF130" s="5" t="str">
        <f>""</f>
        <v/>
      </c>
      <c r="BG130" s="5" t="str">
        <f>"2005"</f>
        <v>2005</v>
      </c>
      <c r="BH130" s="5" t="str">
        <f>"2,00"</f>
        <v>2,00</v>
      </c>
      <c r="BI130" s="5" t="str">
        <f>"2030"</f>
        <v>2030</v>
      </c>
      <c r="BJ130" s="5" t="str">
        <f t="shared" si="191"/>
        <v>нет</v>
      </c>
      <c r="BK130" s="5" t="str">
        <f>""</f>
        <v/>
      </c>
      <c r="BL130" s="5" t="str">
        <f>""</f>
        <v/>
      </c>
      <c r="BM130" s="5" t="str">
        <f>""</f>
        <v/>
      </c>
      <c r="BN130" s="5" t="str">
        <f t="shared" si="192"/>
        <v>нет</v>
      </c>
      <c r="BO130" s="5" t="str">
        <f>""</f>
        <v/>
      </c>
      <c r="BP130" s="5" t="str">
        <f>""</f>
        <v/>
      </c>
      <c r="BQ130" s="5" t="str">
        <f>""</f>
        <v/>
      </c>
      <c r="BR130" s="5" t="str">
        <f>"2005"</f>
        <v>2005</v>
      </c>
      <c r="BS130" s="5" t="str">
        <f>"2,00"</f>
        <v>2,00</v>
      </c>
      <c r="BT130" s="5" t="str">
        <f>"2030"</f>
        <v>2030</v>
      </c>
      <c r="BU130" s="5" t="str">
        <f t="shared" si="107"/>
        <v>нет</v>
      </c>
      <c r="BV130" s="5" t="str">
        <f t="shared" si="165"/>
        <v>x</v>
      </c>
      <c r="BW130" s="5" t="str">
        <f t="shared" si="165"/>
        <v>x</v>
      </c>
      <c r="BX130" s="5" t="str">
        <f t="shared" si="165"/>
        <v>x</v>
      </c>
      <c r="BY130" s="5" t="str">
        <f>"да"</f>
        <v>да</v>
      </c>
      <c r="BZ130" s="5" t="str">
        <f>"2005"</f>
        <v>2005</v>
      </c>
      <c r="CA130" s="5" t="str">
        <f>"1,00"</f>
        <v>1,00</v>
      </c>
      <c r="CB130" s="5" t="str">
        <f>"2030"</f>
        <v>2030</v>
      </c>
      <c r="CC130" s="5" t="str">
        <f>"2005"</f>
        <v>2005</v>
      </c>
      <c r="CD130" s="5" t="str">
        <f>"1,00"</f>
        <v>1,00</v>
      </c>
      <c r="CE130" s="5" t="str">
        <f>"2030"</f>
        <v>2030</v>
      </c>
      <c r="CF130" s="5" t="str">
        <f>"2005"</f>
        <v>2005</v>
      </c>
      <c r="CG130" s="5" t="str">
        <f>"1,00"</f>
        <v>1,00</v>
      </c>
      <c r="CH130" s="5" t="str">
        <f>"2030"</f>
        <v>2030</v>
      </c>
      <c r="CI130" s="5" t="str">
        <f>"1,00"</f>
        <v>1,00</v>
      </c>
      <c r="CJ130" s="5" t="str">
        <f>"2040"</f>
        <v>2040</v>
      </c>
    </row>
    <row r="131" spans="1:88" ht="11.25" customHeight="1">
      <c r="A131" s="3" t="str">
        <f>"1.118"</f>
        <v>1.118</v>
      </c>
      <c r="B131" s="4" t="str">
        <f>"г. Грязовец, ул. Коммунистическая, д.63"</f>
        <v>г. Грязовец, ул. Коммунистическая, д.63</v>
      </c>
      <c r="C131" s="7" t="str">
        <f>"2006"</f>
        <v>2006</v>
      </c>
      <c r="D131" s="5" t="str">
        <f>"2006"</f>
        <v>2006</v>
      </c>
      <c r="E131" s="5" t="str">
        <f>"2,00"</f>
        <v>2,00</v>
      </c>
      <c r="F131" s="5" t="str">
        <f>"2030"</f>
        <v>2030</v>
      </c>
      <c r="G131" s="5" t="str">
        <f t="shared" si="181"/>
        <v>да</v>
      </c>
      <c r="H131" s="5" t="str">
        <f>""</f>
        <v/>
      </c>
      <c r="I131" s="5" t="str">
        <f>"2,00"</f>
        <v>2,00</v>
      </c>
      <c r="J131" s="5" t="str">
        <f>"2030"</f>
        <v>2030</v>
      </c>
      <c r="K131" s="5" t="str">
        <f t="shared" si="182"/>
        <v>да</v>
      </c>
      <c r="L131" s="5" t="str">
        <f>""</f>
        <v/>
      </c>
      <c r="M131" s="5" t="str">
        <f>"2,00"</f>
        <v>2,00</v>
      </c>
      <c r="N131" s="5" t="str">
        <f>"2030"</f>
        <v>2030</v>
      </c>
      <c r="O131" s="8" t="str">
        <f>"2006"</f>
        <v>2006</v>
      </c>
      <c r="P131" s="5" t="str">
        <f>"1,00"</f>
        <v>1,00</v>
      </c>
      <c r="Q131" s="5" t="str">
        <f>"2030"</f>
        <v>2030</v>
      </c>
      <c r="R131" s="5" t="str">
        <f>"да"</f>
        <v>да</v>
      </c>
      <c r="S131" s="5" t="str">
        <f>""</f>
        <v/>
      </c>
      <c r="T131" s="5" t="str">
        <f>""</f>
        <v/>
      </c>
      <c r="U131" s="5" t="str">
        <f>""</f>
        <v/>
      </c>
      <c r="V131" s="5" t="str">
        <f>"да"</f>
        <v>да</v>
      </c>
      <c r="W131" s="5" t="str">
        <f>""</f>
        <v/>
      </c>
      <c r="X131" s="5" t="str">
        <f>""</f>
        <v/>
      </c>
      <c r="Y131" s="9" t="str">
        <f>""</f>
        <v/>
      </c>
      <c r="Z131" s="5" t="str">
        <f>"2006"</f>
        <v>2006</v>
      </c>
      <c r="AA131" s="5" t="str">
        <f>"1,00"</f>
        <v>1,00</v>
      </c>
      <c r="AB131" s="5" t="str">
        <f>"2030"</f>
        <v>2030</v>
      </c>
      <c r="AC131" s="5" t="str">
        <f>"да"</f>
        <v>да</v>
      </c>
      <c r="AD131" s="5" t="str">
        <f>""</f>
        <v/>
      </c>
      <c r="AE131" s="5" t="str">
        <f>"2,00"</f>
        <v>2,00</v>
      </c>
      <c r="AF131" s="5" t="str">
        <f>"2030"</f>
        <v>2030</v>
      </c>
      <c r="AG131" s="5" t="str">
        <f>"да"</f>
        <v>да</v>
      </c>
      <c r="AH131" s="5" t="str">
        <f>""</f>
        <v/>
      </c>
      <c r="AI131" s="5" t="str">
        <f>"2,00"</f>
        <v>2,00</v>
      </c>
      <c r="AJ131" s="5" t="str">
        <f>"2030"</f>
        <v>2030</v>
      </c>
      <c r="AK131" s="8" t="str">
        <f>"2006"</f>
        <v>2006</v>
      </c>
      <c r="AL131" s="5" t="str">
        <f>"2,00"</f>
        <v>2,00</v>
      </c>
      <c r="AM131" s="5" t="str">
        <f>"2030"</f>
        <v>2030</v>
      </c>
      <c r="AN131" s="5" t="str">
        <f>"да"</f>
        <v>да</v>
      </c>
      <c r="AO131" s="5" t="str">
        <f>""</f>
        <v/>
      </c>
      <c r="AP131" s="5" t="str">
        <f>"2,00"</f>
        <v>2,00</v>
      </c>
      <c r="AQ131" s="5" t="str">
        <f>"2030"</f>
        <v>2030</v>
      </c>
      <c r="AR131" s="5" t="str">
        <f>"да"</f>
        <v>да</v>
      </c>
      <c r="AS131" s="5" t="str">
        <f>""</f>
        <v/>
      </c>
      <c r="AT131" s="5" t="str">
        <f>"2,00"</f>
        <v>2,00</v>
      </c>
      <c r="AU131" s="5" t="str">
        <f>"2030"</f>
        <v>2030</v>
      </c>
      <c r="AV131" s="5" t="str">
        <f>"2006"</f>
        <v>2006</v>
      </c>
      <c r="AW131" s="5" t="str">
        <f>"2,00"</f>
        <v>2,00</v>
      </c>
      <c r="AX131" s="5" t="str">
        <f>"2030"</f>
        <v>2030</v>
      </c>
      <c r="AY131" s="5" t="str">
        <f t="shared" si="189"/>
        <v>нет</v>
      </c>
      <c r="AZ131" s="5" t="str">
        <f>""</f>
        <v/>
      </c>
      <c r="BA131" s="5" t="str">
        <f>""</f>
        <v/>
      </c>
      <c r="BB131" s="5" t="str">
        <f>""</f>
        <v/>
      </c>
      <c r="BC131" s="5" t="str">
        <f t="shared" si="190"/>
        <v>нет</v>
      </c>
      <c r="BD131" s="5" t="str">
        <f>""</f>
        <v/>
      </c>
      <c r="BE131" s="5" t="str">
        <f>""</f>
        <v/>
      </c>
      <c r="BF131" s="5" t="str">
        <f>""</f>
        <v/>
      </c>
      <c r="BG131" s="5" t="str">
        <f>"2006"</f>
        <v>2006</v>
      </c>
      <c r="BH131" s="5" t="str">
        <f>"2,00"</f>
        <v>2,00</v>
      </c>
      <c r="BI131" s="5" t="str">
        <f>"2030"</f>
        <v>2030</v>
      </c>
      <c r="BJ131" s="5" t="str">
        <f t="shared" si="191"/>
        <v>нет</v>
      </c>
      <c r="BK131" s="5" t="str">
        <f>""</f>
        <v/>
      </c>
      <c r="BL131" s="5" t="str">
        <f>""</f>
        <v/>
      </c>
      <c r="BM131" s="5" t="str">
        <f>""</f>
        <v/>
      </c>
      <c r="BN131" s="5" t="str">
        <f t="shared" si="192"/>
        <v>нет</v>
      </c>
      <c r="BO131" s="5" t="str">
        <f>""</f>
        <v/>
      </c>
      <c r="BP131" s="5" t="str">
        <f>""</f>
        <v/>
      </c>
      <c r="BQ131" s="5" t="str">
        <f>""</f>
        <v/>
      </c>
      <c r="BR131" s="5" t="str">
        <f>"2006"</f>
        <v>2006</v>
      </c>
      <c r="BS131" s="5" t="str">
        <f>"2,00"</f>
        <v>2,00</v>
      </c>
      <c r="BT131" s="5" t="str">
        <f>"2030"</f>
        <v>2030</v>
      </c>
      <c r="BU131" s="5" t="str">
        <f t="shared" si="107"/>
        <v>нет</v>
      </c>
      <c r="BV131" s="5" t="str">
        <f t="shared" si="165"/>
        <v>x</v>
      </c>
      <c r="BW131" s="5" t="str">
        <f t="shared" si="165"/>
        <v>x</v>
      </c>
      <c r="BX131" s="5" t="str">
        <f t="shared" si="165"/>
        <v>x</v>
      </c>
      <c r="BY131" s="5" t="str">
        <f>"да"</f>
        <v>да</v>
      </c>
      <c r="BZ131" s="5" t="str">
        <f>"2006"</f>
        <v>2006</v>
      </c>
      <c r="CA131" s="5" t="str">
        <f>"1,00"</f>
        <v>1,00</v>
      </c>
      <c r="CB131" s="5" t="str">
        <f>"2030"</f>
        <v>2030</v>
      </c>
      <c r="CC131" s="5" t="str">
        <f>"2006"</f>
        <v>2006</v>
      </c>
      <c r="CD131" s="5" t="str">
        <f>"1,00"</f>
        <v>1,00</v>
      </c>
      <c r="CE131" s="5" t="str">
        <f>"2030"</f>
        <v>2030</v>
      </c>
      <c r="CF131" s="5" t="str">
        <f>"2006"</f>
        <v>2006</v>
      </c>
      <c r="CG131" s="5" t="str">
        <f>"1,00"</f>
        <v>1,00</v>
      </c>
      <c r="CH131" s="5" t="str">
        <f>"2030"</f>
        <v>2030</v>
      </c>
      <c r="CI131" s="5" t="str">
        <f>"1,00"</f>
        <v>1,00</v>
      </c>
      <c r="CJ131" s="5" t="str">
        <f>"2040"</f>
        <v>2040</v>
      </c>
    </row>
    <row r="132" spans="1:88" ht="11.25" customHeight="1">
      <c r="A132" s="3" t="str">
        <f>"1.119"</f>
        <v>1.119</v>
      </c>
      <c r="B132" s="4" t="str">
        <f>"г. Грязовец, ул. Коммунистическая, д.65"</f>
        <v>г. Грязовец, ул. Коммунистическая, д.65</v>
      </c>
      <c r="C132" s="7" t="str">
        <f>"2005"</f>
        <v>2005</v>
      </c>
      <c r="D132" s="5" t="str">
        <f>"2005"</f>
        <v>2005</v>
      </c>
      <c r="E132" s="5" t="str">
        <f>"2,00"</f>
        <v>2,00</v>
      </c>
      <c r="F132" s="5" t="str">
        <f>"2030"</f>
        <v>2030</v>
      </c>
      <c r="G132" s="5" t="str">
        <f t="shared" si="181"/>
        <v>да</v>
      </c>
      <c r="H132" s="5" t="str">
        <f>""</f>
        <v/>
      </c>
      <c r="I132" s="5" t="str">
        <f>"2,00"</f>
        <v>2,00</v>
      </c>
      <c r="J132" s="5" t="str">
        <f>"2030"</f>
        <v>2030</v>
      </c>
      <c r="K132" s="5" t="str">
        <f t="shared" si="182"/>
        <v>да</v>
      </c>
      <c r="L132" s="5" t="str">
        <f>""</f>
        <v/>
      </c>
      <c r="M132" s="5" t="str">
        <f>"2,00"</f>
        <v>2,00</v>
      </c>
      <c r="N132" s="5" t="str">
        <f>"2030"</f>
        <v>2030</v>
      </c>
      <c r="O132" s="8" t="str">
        <f>""</f>
        <v/>
      </c>
      <c r="P132" s="5" t="str">
        <f>"2,00"</f>
        <v>2,00</v>
      </c>
      <c r="Q132" s="5" t="str">
        <f>"2036"</f>
        <v>2036</v>
      </c>
      <c r="R132" s="5" t="str">
        <f>"да"</f>
        <v>да</v>
      </c>
      <c r="S132" s="5" t="str">
        <f>""</f>
        <v/>
      </c>
      <c r="T132" s="5" t="str">
        <f>"1,00"</f>
        <v>1,00</v>
      </c>
      <c r="U132" s="5" t="str">
        <f>"2036"</f>
        <v>2036</v>
      </c>
      <c r="V132" s="5" t="str">
        <f>"да"</f>
        <v>да</v>
      </c>
      <c r="W132" s="5" t="str">
        <f>""</f>
        <v/>
      </c>
      <c r="X132" s="5" t="str">
        <f>"1,00"</f>
        <v>1,00</v>
      </c>
      <c r="Y132" s="9" t="str">
        <f>"2036"</f>
        <v>2036</v>
      </c>
      <c r="Z132" s="5" t="str">
        <f>"2005"</f>
        <v>2005</v>
      </c>
      <c r="AA132" s="5" t="str">
        <f>"1,00"</f>
        <v>1,00</v>
      </c>
      <c r="AB132" s="5" t="str">
        <f>"2030"</f>
        <v>2030</v>
      </c>
      <c r="AC132" s="5" t="str">
        <f>"да"</f>
        <v>да</v>
      </c>
      <c r="AD132" s="5" t="str">
        <f>""</f>
        <v/>
      </c>
      <c r="AE132" s="5" t="str">
        <f>"1,00"</f>
        <v>1,00</v>
      </c>
      <c r="AF132" s="5" t="str">
        <f>"2030"</f>
        <v>2030</v>
      </c>
      <c r="AG132" s="5" t="str">
        <f>"да"</f>
        <v>да</v>
      </c>
      <c r="AH132" s="5" t="str">
        <f>""</f>
        <v/>
      </c>
      <c r="AI132" s="5" t="str">
        <f>"1,00"</f>
        <v>1,00</v>
      </c>
      <c r="AJ132" s="5" t="str">
        <f>"2030"</f>
        <v>2030</v>
      </c>
      <c r="AK132" s="8" t="str">
        <f>"2005"</f>
        <v>2005</v>
      </c>
      <c r="AL132" s="5" t="str">
        <f>"2,00"</f>
        <v>2,00</v>
      </c>
      <c r="AM132" s="5" t="str">
        <f>"2030"</f>
        <v>2030</v>
      </c>
      <c r="AN132" s="5" t="str">
        <f>"да"</f>
        <v>да</v>
      </c>
      <c r="AO132" s="5" t="str">
        <f>""</f>
        <v/>
      </c>
      <c r="AP132" s="5" t="str">
        <f>"1,00"</f>
        <v>1,00</v>
      </c>
      <c r="AQ132" s="5" t="str">
        <f>"2030"</f>
        <v>2030</v>
      </c>
      <c r="AR132" s="5" t="str">
        <f>"да"</f>
        <v>да</v>
      </c>
      <c r="AS132" s="5" t="str">
        <f>""</f>
        <v/>
      </c>
      <c r="AT132" s="5" t="str">
        <f>"1,00"</f>
        <v>1,00</v>
      </c>
      <c r="AU132" s="5" t="str">
        <f>"2030"</f>
        <v>2030</v>
      </c>
      <c r="AV132" s="5" t="str">
        <f>"2005"</f>
        <v>2005</v>
      </c>
      <c r="AW132" s="5" t="str">
        <f>"2,00"</f>
        <v>2,00</v>
      </c>
      <c r="AX132" s="5" t="str">
        <f>"2030"</f>
        <v>2030</v>
      </c>
      <c r="AY132" s="5" t="str">
        <f t="shared" si="189"/>
        <v>нет</v>
      </c>
      <c r="AZ132" s="5" t="str">
        <f>""</f>
        <v/>
      </c>
      <c r="BA132" s="5" t="str">
        <f>""</f>
        <v/>
      </c>
      <c r="BB132" s="5" t="str">
        <f>""</f>
        <v/>
      </c>
      <c r="BC132" s="5" t="str">
        <f t="shared" si="190"/>
        <v>нет</v>
      </c>
      <c r="BD132" s="5" t="str">
        <f>""</f>
        <v/>
      </c>
      <c r="BE132" s="5" t="str">
        <f>""</f>
        <v/>
      </c>
      <c r="BF132" s="5" t="str">
        <f>""</f>
        <v/>
      </c>
      <c r="BG132" s="5" t="str">
        <f>"2005"</f>
        <v>2005</v>
      </c>
      <c r="BH132" s="5" t="str">
        <f>"2,00"</f>
        <v>2,00</v>
      </c>
      <c r="BI132" s="5" t="str">
        <f>"2030"</f>
        <v>2030</v>
      </c>
      <c r="BJ132" s="5" t="str">
        <f t="shared" si="191"/>
        <v>нет</v>
      </c>
      <c r="BK132" s="5" t="str">
        <f>""</f>
        <v/>
      </c>
      <c r="BL132" s="5" t="str">
        <f>""</f>
        <v/>
      </c>
      <c r="BM132" s="5" t="str">
        <f>""</f>
        <v/>
      </c>
      <c r="BN132" s="5" t="str">
        <f t="shared" si="192"/>
        <v>нет</v>
      </c>
      <c r="BO132" s="5" t="str">
        <f>""</f>
        <v/>
      </c>
      <c r="BP132" s="5" t="str">
        <f>""</f>
        <v/>
      </c>
      <c r="BQ132" s="5" t="str">
        <f>""</f>
        <v/>
      </c>
      <c r="BR132" s="5" t="str">
        <f>"2005"</f>
        <v>2005</v>
      </c>
      <c r="BS132" s="5" t="str">
        <f>"1,00"</f>
        <v>1,00</v>
      </c>
      <c r="BT132" s="5" t="str">
        <f>"2030"</f>
        <v>2030</v>
      </c>
      <c r="BU132" s="5" t="str">
        <f t="shared" si="107"/>
        <v>нет</v>
      </c>
      <c r="BV132" s="5" t="str">
        <f t="shared" si="165"/>
        <v>x</v>
      </c>
      <c r="BW132" s="5" t="str">
        <f t="shared" si="165"/>
        <v>x</v>
      </c>
      <c r="BX132" s="5" t="str">
        <f t="shared" si="165"/>
        <v>x</v>
      </c>
      <c r="BY132" s="5" t="str">
        <f>"да"</f>
        <v>да</v>
      </c>
      <c r="BZ132" s="5" t="str">
        <f>"2005"</f>
        <v>2005</v>
      </c>
      <c r="CA132" s="5" t="str">
        <f>"1,00"</f>
        <v>1,00</v>
      </c>
      <c r="CB132" s="5" t="str">
        <f>"2030"</f>
        <v>2030</v>
      </c>
      <c r="CC132" s="5" t="str">
        <f>"2005"</f>
        <v>2005</v>
      </c>
      <c r="CD132" s="5" t="str">
        <f>"1,00"</f>
        <v>1,00</v>
      </c>
      <c r="CE132" s="5" t="str">
        <f>"2030"</f>
        <v>2030</v>
      </c>
      <c r="CF132" s="5" t="str">
        <f>"2005"</f>
        <v>2005</v>
      </c>
      <c r="CG132" s="5" t="str">
        <f>"1,00"</f>
        <v>1,00</v>
      </c>
      <c r="CH132" s="5" t="str">
        <f>"2030"</f>
        <v>2030</v>
      </c>
      <c r="CI132" s="5" t="str">
        <f>"1,00"</f>
        <v>1,00</v>
      </c>
      <c r="CJ132" s="5" t="str">
        <f>"2040"</f>
        <v>2040</v>
      </c>
    </row>
    <row r="133" spans="1:88" ht="11.25" customHeight="1">
      <c r="A133" s="3" t="str">
        <f>"1.120"</f>
        <v>1.120</v>
      </c>
      <c r="B133" s="4" t="str">
        <f>"г. Грязовец, ул. Комсомольская, д.45"</f>
        <v>г. Грязовец, ул. Комсомольская, д.45</v>
      </c>
      <c r="C133" s="7" t="str">
        <f>"1987"</f>
        <v>1987</v>
      </c>
      <c r="D133" s="5" t="str">
        <f>"1980"</f>
        <v>1980</v>
      </c>
      <c r="E133" s="5" t="str">
        <f>"30,00"</f>
        <v>30,00</v>
      </c>
      <c r="F133" s="5" t="str">
        <f>"2033"</f>
        <v>2033</v>
      </c>
      <c r="G133" s="5" t="str">
        <f t="shared" si="181"/>
        <v>да</v>
      </c>
      <c r="H133" s="5" t="str">
        <f>""</f>
        <v/>
      </c>
      <c r="I133" s="5" t="str">
        <f>"35,00"</f>
        <v>35,00</v>
      </c>
      <c r="J133" s="5" t="str">
        <f>"2033"</f>
        <v>2033</v>
      </c>
      <c r="K133" s="5" t="str">
        <f t="shared" si="182"/>
        <v>да</v>
      </c>
      <c r="L133" s="5" t="str">
        <f>""</f>
        <v/>
      </c>
      <c r="M133" s="5" t="str">
        <f>"35,00"</f>
        <v>35,00</v>
      </c>
      <c r="N133" s="5" t="str">
        <f>"2033"</f>
        <v>2033</v>
      </c>
      <c r="O133" s="8" t="str">
        <f>"х"</f>
        <v>х</v>
      </c>
      <c r="P133" s="5" t="str">
        <f>"25,00"</f>
        <v>25,00</v>
      </c>
      <c r="Q133" s="5" t="str">
        <f>"2020"</f>
        <v>2020</v>
      </c>
      <c r="R133" s="5" t="str">
        <f>"нет"</f>
        <v>нет</v>
      </c>
      <c r="S133" s="5" t="str">
        <f>"х"</f>
        <v>х</v>
      </c>
      <c r="T133" s="5" t="str">
        <f>"х"</f>
        <v>х</v>
      </c>
      <c r="U133" s="5" t="str">
        <f>"х"</f>
        <v>х</v>
      </c>
      <c r="V133" s="5" t="str">
        <f>"нет"</f>
        <v>нет</v>
      </c>
      <c r="W133" s="5" t="str">
        <f>"х"</f>
        <v>х</v>
      </c>
      <c r="X133" s="5" t="str">
        <f>"х"</f>
        <v>х</v>
      </c>
      <c r="Y133" s="9" t="str">
        <f>"х"</f>
        <v>х</v>
      </c>
      <c r="Z133" s="5" t="str">
        <f>""</f>
        <v/>
      </c>
      <c r="AA133" s="5" t="str">
        <f>"22,00"</f>
        <v>22,00</v>
      </c>
      <c r="AB133" s="5" t="str">
        <f>"2020"</f>
        <v>2020</v>
      </c>
      <c r="AC133" s="5" t="str">
        <f>"нет"</f>
        <v>нет</v>
      </c>
      <c r="AD133" s="5" t="str">
        <f>""</f>
        <v/>
      </c>
      <c r="AE133" s="5" t="str">
        <f>""</f>
        <v/>
      </c>
      <c r="AF133" s="5" t="str">
        <f>""</f>
        <v/>
      </c>
      <c r="AG133" s="5" t="str">
        <f>"нет"</f>
        <v>нет</v>
      </c>
      <c r="AH133" s="5" t="str">
        <f>""</f>
        <v/>
      </c>
      <c r="AI133" s="5" t="str">
        <f>""</f>
        <v/>
      </c>
      <c r="AJ133" s="5" t="str">
        <f>""</f>
        <v/>
      </c>
      <c r="AK133" s="8" t="str">
        <f>"х"</f>
        <v>х</v>
      </c>
      <c r="AL133" s="5" t="str">
        <f>"30,00"</f>
        <v>30,00</v>
      </c>
      <c r="AM133" s="5" t="str">
        <f>"2033"</f>
        <v>2033</v>
      </c>
      <c r="AN133" s="5" t="str">
        <f>"да"</f>
        <v>да</v>
      </c>
      <c r="AO133" s="5" t="str">
        <f>"х"</f>
        <v>х</v>
      </c>
      <c r="AP133" s="5" t="str">
        <f>"х"</f>
        <v>х</v>
      </c>
      <c r="AQ133" s="5" t="str">
        <f>"х"</f>
        <v>х</v>
      </c>
      <c r="AR133" s="5" t="str">
        <f>"да"</f>
        <v>да</v>
      </c>
      <c r="AS133" s="5" t="str">
        <f t="shared" ref="AS133:AX133" si="197">"х"</f>
        <v>х</v>
      </c>
      <c r="AT133" s="5" t="str">
        <f t="shared" si="197"/>
        <v>х</v>
      </c>
      <c r="AU133" s="5" t="str">
        <f t="shared" si="197"/>
        <v>х</v>
      </c>
      <c r="AV133" s="5" t="str">
        <f t="shared" si="197"/>
        <v>х</v>
      </c>
      <c r="AW133" s="5" t="str">
        <f t="shared" si="197"/>
        <v>х</v>
      </c>
      <c r="AX133" s="5" t="str">
        <f t="shared" si="197"/>
        <v>х</v>
      </c>
      <c r="AY133" s="5" t="str">
        <f t="shared" si="189"/>
        <v>нет</v>
      </c>
      <c r="AZ133" s="5" t="str">
        <f t="shared" ref="AZ133:BB136" si="198">"х"</f>
        <v>х</v>
      </c>
      <c r="BA133" s="5" t="str">
        <f t="shared" si="198"/>
        <v>х</v>
      </c>
      <c r="BB133" s="5" t="str">
        <f t="shared" si="198"/>
        <v>х</v>
      </c>
      <c r="BC133" s="5" t="str">
        <f t="shared" si="190"/>
        <v>нет</v>
      </c>
      <c r="BD133" s="5" t="str">
        <f>"х"</f>
        <v>х</v>
      </c>
      <c r="BE133" s="5" t="str">
        <f>"х"</f>
        <v>х</v>
      </c>
      <c r="BF133" s="5" t="str">
        <f>"х"</f>
        <v>х</v>
      </c>
      <c r="BG133" s="5" t="str">
        <f>"х"</f>
        <v>х</v>
      </c>
      <c r="BH133" s="5" t="str">
        <f>"25,00"</f>
        <v>25,00</v>
      </c>
      <c r="BI133" s="5" t="str">
        <f>"2020"</f>
        <v>2020</v>
      </c>
      <c r="BJ133" s="5" t="str">
        <f t="shared" si="191"/>
        <v>нет</v>
      </c>
      <c r="BK133" s="5" t="str">
        <f>"х"</f>
        <v>х</v>
      </c>
      <c r="BL133" s="5" t="str">
        <f>"х"</f>
        <v>х</v>
      </c>
      <c r="BM133" s="5" t="str">
        <f>"х"</f>
        <v>х</v>
      </c>
      <c r="BN133" s="5" t="str">
        <f t="shared" si="192"/>
        <v>нет</v>
      </c>
      <c r="BO133" s="5" t="str">
        <f>"х"</f>
        <v>х</v>
      </c>
      <c r="BP133" s="5" t="str">
        <f>"х"</f>
        <v>х</v>
      </c>
      <c r="BQ133" s="5" t="str">
        <f>"х"</f>
        <v>х</v>
      </c>
      <c r="BR133" s="5" t="str">
        <f>""</f>
        <v/>
      </c>
      <c r="BS133" s="5" t="str">
        <f>"30,00"</f>
        <v>30,00</v>
      </c>
      <c r="BT133" s="5" t="str">
        <f>"2020"</f>
        <v>2020</v>
      </c>
      <c r="BU133" s="5" t="str">
        <f t="shared" si="107"/>
        <v>нет</v>
      </c>
      <c r="BV133" s="5" t="str">
        <f t="shared" si="165"/>
        <v>x</v>
      </c>
      <c r="BW133" s="5" t="str">
        <f t="shared" si="165"/>
        <v>x</v>
      </c>
      <c r="BX133" s="5" t="str">
        <f t="shared" si="165"/>
        <v>x</v>
      </c>
      <c r="BY133" s="5" t="str">
        <f t="shared" ref="BY133:BY139" si="199">"нет"</f>
        <v>нет</v>
      </c>
      <c r="BZ133" s="5" t="str">
        <f>"x"</f>
        <v>x</v>
      </c>
      <c r="CA133" s="5" t="str">
        <f>"25,00"</f>
        <v>25,00</v>
      </c>
      <c r="CB133" s="5" t="str">
        <f>"2020"</f>
        <v>2020</v>
      </c>
      <c r="CC133" s="5" t="str">
        <f>""</f>
        <v/>
      </c>
      <c r="CD133" s="5" t="str">
        <f>"25,00"</f>
        <v>25,00</v>
      </c>
      <c r="CE133" s="5" t="str">
        <f>"2020"</f>
        <v>2020</v>
      </c>
      <c r="CF133" s="5" t="str">
        <f>""</f>
        <v/>
      </c>
      <c r="CG133" s="5" t="str">
        <f>"25,00"</f>
        <v>25,00</v>
      </c>
      <c r="CH133" s="5" t="str">
        <f>"2020"</f>
        <v>2020</v>
      </c>
      <c r="CI133" s="5" t="str">
        <f>"22,00"</f>
        <v>22,00</v>
      </c>
      <c r="CJ133" s="5" t="str">
        <f>"2033"</f>
        <v>2033</v>
      </c>
    </row>
    <row r="134" spans="1:88" ht="11.25" customHeight="1">
      <c r="A134" s="3" t="str">
        <f>"1.121"</f>
        <v>1.121</v>
      </c>
      <c r="B134" s="4" t="str">
        <f>"г. Грязовец, ул. Комсомольская, д.59"</f>
        <v>г. Грязовец, ул. Комсомольская, д.59</v>
      </c>
      <c r="C134" s="7" t="str">
        <f>"1969"</f>
        <v>1969</v>
      </c>
      <c r="D134" s="5" t="str">
        <f>"2013"</f>
        <v>2013</v>
      </c>
      <c r="E134" s="5" t="str">
        <f>"30,00"</f>
        <v>30,00</v>
      </c>
      <c r="F134" s="5" t="str">
        <f>"2021"</f>
        <v>2021</v>
      </c>
      <c r="G134" s="5" t="str">
        <f t="shared" si="181"/>
        <v>да</v>
      </c>
      <c r="H134" s="5" t="str">
        <f>""</f>
        <v/>
      </c>
      <c r="I134" s="5" t="str">
        <f>"25,00"</f>
        <v>25,00</v>
      </c>
      <c r="J134" s="5" t="str">
        <f>"2021"</f>
        <v>2021</v>
      </c>
      <c r="K134" s="5" t="str">
        <f t="shared" si="182"/>
        <v>да</v>
      </c>
      <c r="L134" s="5" t="str">
        <f>""</f>
        <v/>
      </c>
      <c r="M134" s="5" t="str">
        <f>"25,00"</f>
        <v>25,00</v>
      </c>
      <c r="N134" s="5" t="str">
        <f>"2021"</f>
        <v>2021</v>
      </c>
      <c r="O134" s="8" t="str">
        <f>"2013"</f>
        <v>2013</v>
      </c>
      <c r="P134" s="5" t="str">
        <f>"30,00"</f>
        <v>30,00</v>
      </c>
      <c r="Q134" s="5" t="str">
        <f>"2024"</f>
        <v>2024</v>
      </c>
      <c r="R134" s="5" t="str">
        <f>"нет"</f>
        <v>нет</v>
      </c>
      <c r="S134" s="5" t="str">
        <f>""</f>
        <v/>
      </c>
      <c r="T134" s="5" t="str">
        <f>""</f>
        <v/>
      </c>
      <c r="U134" s="5" t="str">
        <f>""</f>
        <v/>
      </c>
      <c r="V134" s="5" t="str">
        <f>"нет"</f>
        <v>нет</v>
      </c>
      <c r="W134" s="5" t="str">
        <f>""</f>
        <v/>
      </c>
      <c r="X134" s="5" t="str">
        <f>""</f>
        <v/>
      </c>
      <c r="Y134" s="9" t="str">
        <f>""</f>
        <v/>
      </c>
      <c r="Z134" s="5" t="str">
        <f>"2013"</f>
        <v>2013</v>
      </c>
      <c r="AA134" s="5" t="str">
        <f>"30,00"</f>
        <v>30,00</v>
      </c>
      <c r="AB134" s="5" t="str">
        <f>"2025"</f>
        <v>2025</v>
      </c>
      <c r="AC134" s="5" t="str">
        <f>"нет"</f>
        <v>нет</v>
      </c>
      <c r="AD134" s="5" t="str">
        <f>""</f>
        <v/>
      </c>
      <c r="AE134" s="5" t="str">
        <f>""</f>
        <v/>
      </c>
      <c r="AF134" s="5" t="str">
        <f>""</f>
        <v/>
      </c>
      <c r="AG134" s="5" t="str">
        <f>"нет"</f>
        <v>нет</v>
      </c>
      <c r="AH134" s="5" t="str">
        <f>""</f>
        <v/>
      </c>
      <c r="AI134" s="5" t="str">
        <f>""</f>
        <v/>
      </c>
      <c r="AJ134" s="5" t="str">
        <f>""</f>
        <v/>
      </c>
      <c r="AK134" s="8" t="str">
        <f>"2013"</f>
        <v>2013</v>
      </c>
      <c r="AL134" s="5" t="str">
        <f>"30,00"</f>
        <v>30,00</v>
      </c>
      <c r="AM134" s="5" t="str">
        <f>"2025"</f>
        <v>2025</v>
      </c>
      <c r="AN134" s="5" t="str">
        <f>"нет"</f>
        <v>нет</v>
      </c>
      <c r="AO134" s="5" t="str">
        <f>""</f>
        <v/>
      </c>
      <c r="AP134" s="5" t="str">
        <f>""</f>
        <v/>
      </c>
      <c r="AQ134" s="5" t="str">
        <f>""</f>
        <v/>
      </c>
      <c r="AR134" s="5" t="str">
        <f>"нет"</f>
        <v>нет</v>
      </c>
      <c r="AS134" s="5" t="str">
        <f>""</f>
        <v/>
      </c>
      <c r="AT134" s="5" t="str">
        <f>""</f>
        <v/>
      </c>
      <c r="AU134" s="5" t="str">
        <f>""</f>
        <v/>
      </c>
      <c r="AV134" s="5" t="str">
        <f t="shared" ref="AV134:AX136" si="200">"х"</f>
        <v>х</v>
      </c>
      <c r="AW134" s="5" t="str">
        <f t="shared" si="200"/>
        <v>х</v>
      </c>
      <c r="AX134" s="5" t="str">
        <f t="shared" si="200"/>
        <v>х</v>
      </c>
      <c r="AY134" s="5" t="str">
        <f t="shared" si="189"/>
        <v>нет</v>
      </c>
      <c r="AZ134" s="5" t="str">
        <f t="shared" si="198"/>
        <v>х</v>
      </c>
      <c r="BA134" s="5" t="str">
        <f t="shared" si="198"/>
        <v>х</v>
      </c>
      <c r="BB134" s="5" t="str">
        <f t="shared" si="198"/>
        <v>х</v>
      </c>
      <c r="BC134" s="5" t="str">
        <f t="shared" si="190"/>
        <v>нет</v>
      </c>
      <c r="BD134" s="5" t="str">
        <f t="shared" ref="BD134:BF136" si="201">"х"</f>
        <v>х</v>
      </c>
      <c r="BE134" s="5" t="str">
        <f t="shared" si="201"/>
        <v>х</v>
      </c>
      <c r="BF134" s="5" t="str">
        <f t="shared" si="201"/>
        <v>х</v>
      </c>
      <c r="BG134" s="5" t="str">
        <f>"2013"</f>
        <v>2013</v>
      </c>
      <c r="BH134" s="5" t="str">
        <f>"30,00"</f>
        <v>30,00</v>
      </c>
      <c r="BI134" s="5" t="str">
        <f>"2025"</f>
        <v>2025</v>
      </c>
      <c r="BJ134" s="5" t="str">
        <f t="shared" si="191"/>
        <v>нет</v>
      </c>
      <c r="BK134" s="5" t="str">
        <f>""</f>
        <v/>
      </c>
      <c r="BL134" s="5" t="str">
        <f>""</f>
        <v/>
      </c>
      <c r="BM134" s="5" t="str">
        <f>""</f>
        <v/>
      </c>
      <c r="BN134" s="5" t="str">
        <f t="shared" si="192"/>
        <v>нет</v>
      </c>
      <c r="BO134" s="5" t="str">
        <f>""</f>
        <v/>
      </c>
      <c r="BP134" s="5" t="str">
        <f>""</f>
        <v/>
      </c>
      <c r="BQ134" s="5" t="str">
        <f>""</f>
        <v/>
      </c>
      <c r="BR134" s="5" t="str">
        <f>"2013"</f>
        <v>2013</v>
      </c>
      <c r="BS134" s="5" t="str">
        <f>"30,00"</f>
        <v>30,00</v>
      </c>
      <c r="BT134" s="5" t="str">
        <f>"2025"</f>
        <v>2025</v>
      </c>
      <c r="BU134" s="5" t="str">
        <f t="shared" si="107"/>
        <v>нет</v>
      </c>
      <c r="BV134" s="5" t="str">
        <f t="shared" ref="BV134:BX153" si="202">"x"</f>
        <v>x</v>
      </c>
      <c r="BW134" s="5" t="str">
        <f t="shared" si="202"/>
        <v>x</v>
      </c>
      <c r="BX134" s="5" t="str">
        <f t="shared" si="202"/>
        <v>x</v>
      </c>
      <c r="BY134" s="5" t="str">
        <f t="shared" si="199"/>
        <v>нет</v>
      </c>
      <c r="BZ134" s="5" t="str">
        <f>"2013"</f>
        <v>2013</v>
      </c>
      <c r="CA134" s="5" t="str">
        <f>"30,00"</f>
        <v>30,00</v>
      </c>
      <c r="CB134" s="5" t="str">
        <f>"2025"</f>
        <v>2025</v>
      </c>
      <c r="CC134" s="5" t="str">
        <f>"2013"</f>
        <v>2013</v>
      </c>
      <c r="CD134" s="5" t="str">
        <f>"30,00"</f>
        <v>30,00</v>
      </c>
      <c r="CE134" s="5" t="str">
        <f>"2024"</f>
        <v>2024</v>
      </c>
      <c r="CF134" s="5" t="str">
        <f>"2013"</f>
        <v>2013</v>
      </c>
      <c r="CG134" s="5" t="str">
        <f>"30,00"</f>
        <v>30,00</v>
      </c>
      <c r="CH134" s="5" t="str">
        <f>"2025"</f>
        <v>2025</v>
      </c>
      <c r="CI134" s="5" t="str">
        <f>"19,00"</f>
        <v>19,00</v>
      </c>
      <c r="CJ134" s="5" t="str">
        <f>"2025"</f>
        <v>2025</v>
      </c>
    </row>
    <row r="135" spans="1:88" ht="11.25" customHeight="1">
      <c r="A135" s="3" t="str">
        <f>"1.122"</f>
        <v>1.122</v>
      </c>
      <c r="B135" s="4" t="str">
        <f>"г. Грязовец, ул. Комсомольская, д.63"</f>
        <v>г. Грязовец, ул. Комсомольская, д.63</v>
      </c>
      <c r="C135" s="7" t="str">
        <f>"1990"</f>
        <v>1990</v>
      </c>
      <c r="D135" s="5" t="str">
        <f>"1990"</f>
        <v>1990</v>
      </c>
      <c r="E135" s="5" t="str">
        <f>"20,00"</f>
        <v>20,00</v>
      </c>
      <c r="F135" s="5" t="str">
        <f>"2033"</f>
        <v>2033</v>
      </c>
      <c r="G135" s="5" t="str">
        <f t="shared" si="181"/>
        <v>да</v>
      </c>
      <c r="H135" s="5" t="str">
        <f>""</f>
        <v/>
      </c>
      <c r="I135" s="5" t="str">
        <f>"15,00"</f>
        <v>15,00</v>
      </c>
      <c r="J135" s="5" t="str">
        <f>"2033"</f>
        <v>2033</v>
      </c>
      <c r="K135" s="5" t="str">
        <f t="shared" si="182"/>
        <v>да</v>
      </c>
      <c r="L135" s="5" t="str">
        <f>""</f>
        <v/>
      </c>
      <c r="M135" s="5" t="str">
        <f>"15,00"</f>
        <v>15,00</v>
      </c>
      <c r="N135" s="5" t="str">
        <f>"2033"</f>
        <v>2033</v>
      </c>
      <c r="O135" s="8" t="str">
        <f t="shared" ref="O135:AU135" si="203">"х"</f>
        <v>х</v>
      </c>
      <c r="P135" s="5" t="str">
        <f t="shared" si="203"/>
        <v>х</v>
      </c>
      <c r="Q135" s="5" t="str">
        <f t="shared" si="203"/>
        <v>х</v>
      </c>
      <c r="R135" s="5" t="str">
        <f t="shared" si="203"/>
        <v>х</v>
      </c>
      <c r="S135" s="5" t="str">
        <f t="shared" si="203"/>
        <v>х</v>
      </c>
      <c r="T135" s="5" t="str">
        <f t="shared" si="203"/>
        <v>х</v>
      </c>
      <c r="U135" s="5" t="str">
        <f t="shared" si="203"/>
        <v>х</v>
      </c>
      <c r="V135" s="5" t="str">
        <f t="shared" si="203"/>
        <v>х</v>
      </c>
      <c r="W135" s="5" t="str">
        <f t="shared" si="203"/>
        <v>х</v>
      </c>
      <c r="X135" s="5" t="str">
        <f t="shared" si="203"/>
        <v>х</v>
      </c>
      <c r="Y135" s="9" t="str">
        <f t="shared" si="203"/>
        <v>х</v>
      </c>
      <c r="Z135" s="5" t="str">
        <f t="shared" si="203"/>
        <v>х</v>
      </c>
      <c r="AA135" s="5" t="str">
        <f t="shared" si="203"/>
        <v>х</v>
      </c>
      <c r="AB135" s="5" t="str">
        <f t="shared" si="203"/>
        <v>х</v>
      </c>
      <c r="AC135" s="5" t="str">
        <f t="shared" si="203"/>
        <v>х</v>
      </c>
      <c r="AD135" s="5" t="str">
        <f t="shared" si="203"/>
        <v>х</v>
      </c>
      <c r="AE135" s="5" t="str">
        <f t="shared" si="203"/>
        <v>х</v>
      </c>
      <c r="AF135" s="5" t="str">
        <f t="shared" si="203"/>
        <v>х</v>
      </c>
      <c r="AG135" s="5" t="str">
        <f t="shared" si="203"/>
        <v>х</v>
      </c>
      <c r="AH135" s="5" t="str">
        <f t="shared" si="203"/>
        <v>х</v>
      </c>
      <c r="AI135" s="5" t="str">
        <f t="shared" si="203"/>
        <v>х</v>
      </c>
      <c r="AJ135" s="5" t="str">
        <f t="shared" si="203"/>
        <v>х</v>
      </c>
      <c r="AK135" s="8" t="str">
        <f t="shared" si="203"/>
        <v>х</v>
      </c>
      <c r="AL135" s="5" t="str">
        <f t="shared" si="203"/>
        <v>х</v>
      </c>
      <c r="AM135" s="5" t="str">
        <f t="shared" si="203"/>
        <v>х</v>
      </c>
      <c r="AN135" s="5" t="str">
        <f t="shared" si="203"/>
        <v>х</v>
      </c>
      <c r="AO135" s="5" t="str">
        <f t="shared" si="203"/>
        <v>х</v>
      </c>
      <c r="AP135" s="5" t="str">
        <f t="shared" si="203"/>
        <v>х</v>
      </c>
      <c r="AQ135" s="5" t="str">
        <f t="shared" si="203"/>
        <v>х</v>
      </c>
      <c r="AR135" s="5" t="str">
        <f t="shared" si="203"/>
        <v>х</v>
      </c>
      <c r="AS135" s="5" t="str">
        <f t="shared" si="203"/>
        <v>х</v>
      </c>
      <c r="AT135" s="5" t="str">
        <f t="shared" si="203"/>
        <v>х</v>
      </c>
      <c r="AU135" s="5" t="str">
        <f t="shared" si="203"/>
        <v>х</v>
      </c>
      <c r="AV135" s="5" t="str">
        <f t="shared" si="200"/>
        <v>х</v>
      </c>
      <c r="AW135" s="5" t="str">
        <f t="shared" si="200"/>
        <v>х</v>
      </c>
      <c r="AX135" s="5" t="str">
        <f t="shared" si="200"/>
        <v>х</v>
      </c>
      <c r="AY135" s="5" t="str">
        <f>"х"</f>
        <v>х</v>
      </c>
      <c r="AZ135" s="5" t="str">
        <f t="shared" si="198"/>
        <v>х</v>
      </c>
      <c r="BA135" s="5" t="str">
        <f t="shared" si="198"/>
        <v>х</v>
      </c>
      <c r="BB135" s="5" t="str">
        <f t="shared" si="198"/>
        <v>х</v>
      </c>
      <c r="BC135" s="5" t="str">
        <f>"х"</f>
        <v>х</v>
      </c>
      <c r="BD135" s="5" t="str">
        <f t="shared" si="201"/>
        <v>х</v>
      </c>
      <c r="BE135" s="5" t="str">
        <f t="shared" si="201"/>
        <v>х</v>
      </c>
      <c r="BF135" s="5" t="str">
        <f t="shared" si="201"/>
        <v>х</v>
      </c>
      <c r="BG135" s="5" t="str">
        <f t="shared" ref="BG135:BQ135" si="204">"х"</f>
        <v>х</v>
      </c>
      <c r="BH135" s="5" t="str">
        <f t="shared" si="204"/>
        <v>х</v>
      </c>
      <c r="BI135" s="5" t="str">
        <f t="shared" si="204"/>
        <v>х</v>
      </c>
      <c r="BJ135" s="5" t="str">
        <f t="shared" si="204"/>
        <v>х</v>
      </c>
      <c r="BK135" s="5" t="str">
        <f t="shared" si="204"/>
        <v>х</v>
      </c>
      <c r="BL135" s="5" t="str">
        <f t="shared" si="204"/>
        <v>х</v>
      </c>
      <c r="BM135" s="5" t="str">
        <f t="shared" si="204"/>
        <v>х</v>
      </c>
      <c r="BN135" s="5" t="str">
        <f t="shared" si="204"/>
        <v>х</v>
      </c>
      <c r="BO135" s="5" t="str">
        <f t="shared" si="204"/>
        <v>х</v>
      </c>
      <c r="BP135" s="5" t="str">
        <f t="shared" si="204"/>
        <v>х</v>
      </c>
      <c r="BQ135" s="5" t="str">
        <f t="shared" si="204"/>
        <v>х</v>
      </c>
      <c r="BR135" s="5" t="str">
        <f>"1990"</f>
        <v>1990</v>
      </c>
      <c r="BS135" s="5" t="str">
        <f>"20,00"</f>
        <v>20,00</v>
      </c>
      <c r="BT135" s="5" t="str">
        <f>"2020"</f>
        <v>2020</v>
      </c>
      <c r="BU135" s="5" t="str">
        <f t="shared" si="107"/>
        <v>нет</v>
      </c>
      <c r="BV135" s="5" t="str">
        <f t="shared" si="202"/>
        <v>x</v>
      </c>
      <c r="BW135" s="5" t="str">
        <f t="shared" si="202"/>
        <v>x</v>
      </c>
      <c r="BX135" s="5" t="str">
        <f t="shared" si="202"/>
        <v>x</v>
      </c>
      <c r="BY135" s="5" t="str">
        <f t="shared" si="199"/>
        <v>нет</v>
      </c>
      <c r="BZ135" s="5" t="str">
        <f>"1990"</f>
        <v>1990</v>
      </c>
      <c r="CA135" s="5" t="str">
        <f>"20,00"</f>
        <v>20,00</v>
      </c>
      <c r="CB135" s="5" t="str">
        <f>"2020"</f>
        <v>2020</v>
      </c>
      <c r="CC135" s="5" t="str">
        <f>"1990"</f>
        <v>1990</v>
      </c>
      <c r="CD135" s="5" t="str">
        <f>"20,00"</f>
        <v>20,00</v>
      </c>
      <c r="CE135" s="5" t="str">
        <f>"2020"</f>
        <v>2020</v>
      </c>
      <c r="CF135" s="5" t="str">
        <f>"1990"</f>
        <v>1990</v>
      </c>
      <c r="CG135" s="5" t="str">
        <f>"20,00"</f>
        <v>20,00</v>
      </c>
      <c r="CH135" s="5" t="str">
        <f>"2020"</f>
        <v>2020</v>
      </c>
      <c r="CI135" s="5" t="str">
        <f>"18,00"</f>
        <v>18,00</v>
      </c>
      <c r="CJ135" s="5" t="str">
        <f>"2038"</f>
        <v>2038</v>
      </c>
    </row>
    <row r="136" spans="1:88" ht="11.25" customHeight="1">
      <c r="A136" s="3" t="str">
        <f>"1.123"</f>
        <v>1.123</v>
      </c>
      <c r="B136" s="4" t="str">
        <f>"г. Грязовец, ул. Комсомольская, д.70"</f>
        <v>г. Грязовец, ул. Комсомольская, д.70</v>
      </c>
      <c r="C136" s="7" t="str">
        <f>"1969"</f>
        <v>1969</v>
      </c>
      <c r="D136" s="5" t="str">
        <f>"2005"</f>
        <v>2005</v>
      </c>
      <c r="E136" s="5" t="str">
        <f>"35,00"</f>
        <v>35,00</v>
      </c>
      <c r="F136" s="5" t="str">
        <f>"2030"</f>
        <v>2030</v>
      </c>
      <c r="G136" s="5" t="str">
        <f t="shared" si="181"/>
        <v>да</v>
      </c>
      <c r="H136" s="5" t="str">
        <f>""</f>
        <v/>
      </c>
      <c r="I136" s="5" t="str">
        <f>"30,00"</f>
        <v>30,00</v>
      </c>
      <c r="J136" s="5" t="str">
        <f>"2030"</f>
        <v>2030</v>
      </c>
      <c r="K136" s="5" t="str">
        <f t="shared" si="182"/>
        <v>да</v>
      </c>
      <c r="L136" s="5" t="str">
        <f>""</f>
        <v/>
      </c>
      <c r="M136" s="5" t="str">
        <f>"30,00"</f>
        <v>30,00</v>
      </c>
      <c r="N136" s="5" t="str">
        <f>"2030"</f>
        <v>2030</v>
      </c>
      <c r="O136" s="8" t="str">
        <f>"2005"</f>
        <v>2005</v>
      </c>
      <c r="P136" s="5" t="str">
        <f>"35,00"</f>
        <v>35,00</v>
      </c>
      <c r="Q136" s="5" t="str">
        <f>"2030"</f>
        <v>2030</v>
      </c>
      <c r="R136" s="5" t="str">
        <f>"нет"</f>
        <v>нет</v>
      </c>
      <c r="S136" s="5" t="str">
        <f>""</f>
        <v/>
      </c>
      <c r="T136" s="5" t="str">
        <f>""</f>
        <v/>
      </c>
      <c r="U136" s="5" t="str">
        <f>""</f>
        <v/>
      </c>
      <c r="V136" s="5" t="str">
        <f>"нет"</f>
        <v>нет</v>
      </c>
      <c r="W136" s="5" t="str">
        <f>""</f>
        <v/>
      </c>
      <c r="X136" s="5" t="str">
        <f>""</f>
        <v/>
      </c>
      <c r="Y136" s="9" t="str">
        <f>""</f>
        <v/>
      </c>
      <c r="Z136" s="5" t="str">
        <f>"2005"</f>
        <v>2005</v>
      </c>
      <c r="AA136" s="5" t="str">
        <f>"25,00"</f>
        <v>25,00</v>
      </c>
      <c r="AB136" s="5" t="str">
        <f>"2030"</f>
        <v>2030</v>
      </c>
      <c r="AC136" s="5" t="str">
        <f t="shared" ref="AC136:AC144" si="205">"нет"</f>
        <v>нет</v>
      </c>
      <c r="AD136" s="5" t="str">
        <f>""</f>
        <v/>
      </c>
      <c r="AE136" s="5" t="str">
        <f>""</f>
        <v/>
      </c>
      <c r="AF136" s="5" t="str">
        <f>""</f>
        <v/>
      </c>
      <c r="AG136" s="5" t="str">
        <f t="shared" ref="AG136:AG144" si="206">"нет"</f>
        <v>нет</v>
      </c>
      <c r="AH136" s="5" t="str">
        <f>""</f>
        <v/>
      </c>
      <c r="AI136" s="5" t="str">
        <f>""</f>
        <v/>
      </c>
      <c r="AJ136" s="5" t="str">
        <f>""</f>
        <v/>
      </c>
      <c r="AK136" s="8" t="str">
        <f>"2005"</f>
        <v>2005</v>
      </c>
      <c r="AL136" s="5" t="str">
        <f>"30,00"</f>
        <v>30,00</v>
      </c>
      <c r="AM136" s="5" t="str">
        <f>"2030"</f>
        <v>2030</v>
      </c>
      <c r="AN136" s="5" t="str">
        <f t="shared" ref="AN136:AN144" si="207">"нет"</f>
        <v>нет</v>
      </c>
      <c r="AO136" s="5" t="str">
        <f>""</f>
        <v/>
      </c>
      <c r="AP136" s="5" t="str">
        <f>""</f>
        <v/>
      </c>
      <c r="AQ136" s="5" t="str">
        <f>""</f>
        <v/>
      </c>
      <c r="AR136" s="5" t="str">
        <f t="shared" ref="AR136:AR144" si="208">"нет"</f>
        <v>нет</v>
      </c>
      <c r="AS136" s="5" t="str">
        <f>""</f>
        <v/>
      </c>
      <c r="AT136" s="5" t="str">
        <f>""</f>
        <v/>
      </c>
      <c r="AU136" s="5" t="str">
        <f>""</f>
        <v/>
      </c>
      <c r="AV136" s="5" t="str">
        <f t="shared" si="200"/>
        <v>х</v>
      </c>
      <c r="AW136" s="5" t="str">
        <f t="shared" si="200"/>
        <v>х</v>
      </c>
      <c r="AX136" s="5" t="str">
        <f t="shared" si="200"/>
        <v>х</v>
      </c>
      <c r="AY136" s="5" t="str">
        <f>"нет"</f>
        <v>нет</v>
      </c>
      <c r="AZ136" s="5" t="str">
        <f t="shared" si="198"/>
        <v>х</v>
      </c>
      <c r="BA136" s="5" t="str">
        <f t="shared" si="198"/>
        <v>х</v>
      </c>
      <c r="BB136" s="5" t="str">
        <f t="shared" si="198"/>
        <v>х</v>
      </c>
      <c r="BC136" s="5" t="str">
        <f>"нет"</f>
        <v>нет</v>
      </c>
      <c r="BD136" s="5" t="str">
        <f t="shared" si="201"/>
        <v>х</v>
      </c>
      <c r="BE136" s="5" t="str">
        <f t="shared" si="201"/>
        <v>х</v>
      </c>
      <c r="BF136" s="5" t="str">
        <f t="shared" si="201"/>
        <v>х</v>
      </c>
      <c r="BG136" s="5" t="str">
        <f>"2005"</f>
        <v>2005</v>
      </c>
      <c r="BH136" s="5" t="str">
        <f>"30,00"</f>
        <v>30,00</v>
      </c>
      <c r="BI136" s="5" t="str">
        <f>"2030"</f>
        <v>2030</v>
      </c>
      <c r="BJ136" s="5" t="str">
        <f t="shared" ref="BJ136:BJ144" si="209">"нет"</f>
        <v>нет</v>
      </c>
      <c r="BK136" s="5" t="str">
        <f>""</f>
        <v/>
      </c>
      <c r="BL136" s="5" t="str">
        <f>""</f>
        <v/>
      </c>
      <c r="BM136" s="5" t="str">
        <f>""</f>
        <v/>
      </c>
      <c r="BN136" s="5" t="str">
        <f t="shared" ref="BN136:BN144" si="210">"нет"</f>
        <v>нет</v>
      </c>
      <c r="BO136" s="5" t="str">
        <f>""</f>
        <v/>
      </c>
      <c r="BP136" s="5" t="str">
        <f>""</f>
        <v/>
      </c>
      <c r="BQ136" s="5" t="str">
        <f>""</f>
        <v/>
      </c>
      <c r="BR136" s="5" t="str">
        <f>"2005"</f>
        <v>2005</v>
      </c>
      <c r="BS136" s="5" t="str">
        <f>"30,00"</f>
        <v>30,00</v>
      </c>
      <c r="BT136" s="5" t="str">
        <f>"2030"</f>
        <v>2030</v>
      </c>
      <c r="BU136" s="5" t="str">
        <f t="shared" si="107"/>
        <v>нет</v>
      </c>
      <c r="BV136" s="5" t="str">
        <f t="shared" si="202"/>
        <v>x</v>
      </c>
      <c r="BW136" s="5" t="str">
        <f t="shared" si="202"/>
        <v>x</v>
      </c>
      <c r="BX136" s="5" t="str">
        <f t="shared" si="202"/>
        <v>x</v>
      </c>
      <c r="BY136" s="5" t="str">
        <f t="shared" si="199"/>
        <v>нет</v>
      </c>
      <c r="BZ136" s="5" t="str">
        <f>"2005"</f>
        <v>2005</v>
      </c>
      <c r="CA136" s="5" t="str">
        <f>"30,00"</f>
        <v>30,00</v>
      </c>
      <c r="CB136" s="5" t="str">
        <f>"2030"</f>
        <v>2030</v>
      </c>
      <c r="CC136" s="5" t="str">
        <f>"2005"</f>
        <v>2005</v>
      </c>
      <c r="CD136" s="5" t="str">
        <f>"30,00"</f>
        <v>30,00</v>
      </c>
      <c r="CE136" s="5" t="str">
        <f>"2030"</f>
        <v>2030</v>
      </c>
      <c r="CF136" s="5" t="str">
        <f>"2005"</f>
        <v>2005</v>
      </c>
      <c r="CG136" s="5" t="str">
        <f>"35,00"</f>
        <v>35,00</v>
      </c>
      <c r="CH136" s="5" t="str">
        <f>"2030"</f>
        <v>2030</v>
      </c>
      <c r="CI136" s="5" t="str">
        <f>"34,60"</f>
        <v>34,60</v>
      </c>
      <c r="CJ136" s="5" t="str">
        <f>"2044"</f>
        <v>2044</v>
      </c>
    </row>
    <row r="137" spans="1:88" ht="11.25" customHeight="1">
      <c r="A137" s="3" t="str">
        <f>"1.124"</f>
        <v>1.124</v>
      </c>
      <c r="B137" s="4" t="str">
        <f>"г. Грязовец, ул. Ленина, д.100"</f>
        <v>г. Грязовец, ул. Ленина, д.100</v>
      </c>
      <c r="C137" s="7" t="str">
        <f>"1986"</f>
        <v>1986</v>
      </c>
      <c r="D137" s="5" t="str">
        <f>"1986"</f>
        <v>1986</v>
      </c>
      <c r="E137" s="5" t="str">
        <f>"20,00"</f>
        <v>20,00</v>
      </c>
      <c r="F137" s="5" t="str">
        <f>"2026"</f>
        <v>2026</v>
      </c>
      <c r="G137" s="5" t="str">
        <f t="shared" si="181"/>
        <v>да</v>
      </c>
      <c r="H137" s="5" t="str">
        <f>""</f>
        <v/>
      </c>
      <c r="I137" s="5" t="str">
        <f>"15,00"</f>
        <v>15,00</v>
      </c>
      <c r="J137" s="5" t="str">
        <f>"2026"</f>
        <v>2026</v>
      </c>
      <c r="K137" s="5" t="str">
        <f t="shared" si="182"/>
        <v>да</v>
      </c>
      <c r="L137" s="5" t="str">
        <f>""</f>
        <v/>
      </c>
      <c r="M137" s="5" t="str">
        <f>"15,00"</f>
        <v>15,00</v>
      </c>
      <c r="N137" s="5" t="str">
        <f>"2026"</f>
        <v>2026</v>
      </c>
      <c r="O137" s="8" t="str">
        <f>"1986"</f>
        <v>1986</v>
      </c>
      <c r="P137" s="5" t="str">
        <f>"20,00"</f>
        <v>20,00</v>
      </c>
      <c r="Q137" s="5" t="str">
        <f>"2029"</f>
        <v>2029</v>
      </c>
      <c r="R137" s="5" t="str">
        <f>"нет"</f>
        <v>нет</v>
      </c>
      <c r="S137" s="5" t="str">
        <f>""</f>
        <v/>
      </c>
      <c r="T137" s="5" t="str">
        <f>""</f>
        <v/>
      </c>
      <c r="U137" s="5" t="str">
        <f>""</f>
        <v/>
      </c>
      <c r="V137" s="5" t="str">
        <f>"нет"</f>
        <v>нет</v>
      </c>
      <c r="W137" s="5" t="str">
        <f>""</f>
        <v/>
      </c>
      <c r="X137" s="5" t="str">
        <f>""</f>
        <v/>
      </c>
      <c r="Y137" s="9" t="str">
        <f>""</f>
        <v/>
      </c>
      <c r="Z137" s="5" t="str">
        <f>"1986"</f>
        <v>1986</v>
      </c>
      <c r="AA137" s="5" t="str">
        <f>"15,00"</f>
        <v>15,00</v>
      </c>
      <c r="AB137" s="5" t="str">
        <f>"2029"</f>
        <v>2029</v>
      </c>
      <c r="AC137" s="5" t="str">
        <f t="shared" si="205"/>
        <v>нет</v>
      </c>
      <c r="AD137" s="5" t="str">
        <f>""</f>
        <v/>
      </c>
      <c r="AE137" s="5" t="str">
        <f>""</f>
        <v/>
      </c>
      <c r="AF137" s="5" t="str">
        <f>""</f>
        <v/>
      </c>
      <c r="AG137" s="5" t="str">
        <f t="shared" si="206"/>
        <v>нет</v>
      </c>
      <c r="AH137" s="5" t="str">
        <f>""</f>
        <v/>
      </c>
      <c r="AI137" s="5" t="str">
        <f>""</f>
        <v/>
      </c>
      <c r="AJ137" s="5" t="str">
        <f>""</f>
        <v/>
      </c>
      <c r="AK137" s="8" t="str">
        <f>"1986"</f>
        <v>1986</v>
      </c>
      <c r="AL137" s="5" t="str">
        <f>"20,00"</f>
        <v>20,00</v>
      </c>
      <c r="AM137" s="5" t="str">
        <f>"2026"</f>
        <v>2026</v>
      </c>
      <c r="AN137" s="5" t="str">
        <f t="shared" si="207"/>
        <v>нет</v>
      </c>
      <c r="AO137" s="5" t="str">
        <f>""</f>
        <v/>
      </c>
      <c r="AP137" s="5" t="str">
        <f>""</f>
        <v/>
      </c>
      <c r="AQ137" s="5" t="str">
        <f>""</f>
        <v/>
      </c>
      <c r="AR137" s="5" t="str">
        <f t="shared" si="208"/>
        <v>нет</v>
      </c>
      <c r="AS137" s="5" t="str">
        <f>""</f>
        <v/>
      </c>
      <c r="AT137" s="5" t="str">
        <f>""</f>
        <v/>
      </c>
      <c r="AU137" s="5" t="str">
        <f>""</f>
        <v/>
      </c>
      <c r="AV137" s="5" t="str">
        <f>"1986"</f>
        <v>1986</v>
      </c>
      <c r="AW137" s="5" t="str">
        <f>"20,00"</f>
        <v>20,00</v>
      </c>
      <c r="AX137" s="5" t="str">
        <f>"2027"</f>
        <v>2027</v>
      </c>
      <c r="AY137" s="5" t="str">
        <f>"нет"</f>
        <v>нет</v>
      </c>
      <c r="AZ137" s="5" t="str">
        <f>""</f>
        <v/>
      </c>
      <c r="BA137" s="5" t="str">
        <f>""</f>
        <v/>
      </c>
      <c r="BB137" s="5" t="str">
        <f>""</f>
        <v/>
      </c>
      <c r="BC137" s="5" t="str">
        <f>"нет"</f>
        <v>нет</v>
      </c>
      <c r="BD137" s="5" t="str">
        <f>""</f>
        <v/>
      </c>
      <c r="BE137" s="5" t="str">
        <f>""</f>
        <v/>
      </c>
      <c r="BF137" s="5" t="str">
        <f>""</f>
        <v/>
      </c>
      <c r="BG137" s="5" t="str">
        <f>"1986"</f>
        <v>1986</v>
      </c>
      <c r="BH137" s="5" t="str">
        <f>"20,00"</f>
        <v>20,00</v>
      </c>
      <c r="BI137" s="5" t="str">
        <f>"2028"</f>
        <v>2028</v>
      </c>
      <c r="BJ137" s="5" t="str">
        <f t="shared" si="209"/>
        <v>нет</v>
      </c>
      <c r="BK137" s="5" t="str">
        <f>""</f>
        <v/>
      </c>
      <c r="BL137" s="5" t="str">
        <f>""</f>
        <v/>
      </c>
      <c r="BM137" s="5" t="str">
        <f>""</f>
        <v/>
      </c>
      <c r="BN137" s="5" t="str">
        <f t="shared" si="210"/>
        <v>нет</v>
      </c>
      <c r="BO137" s="5" t="str">
        <f>""</f>
        <v/>
      </c>
      <c r="BP137" s="5" t="str">
        <f>""</f>
        <v/>
      </c>
      <c r="BQ137" s="5" t="str">
        <f>""</f>
        <v/>
      </c>
      <c r="BR137" s="5" t="str">
        <f>"1986"</f>
        <v>1986</v>
      </c>
      <c r="BS137" s="5" t="str">
        <f>"40,00"</f>
        <v>40,00</v>
      </c>
      <c r="BT137" s="5" t="str">
        <f>"2016"</f>
        <v>2016</v>
      </c>
      <c r="BU137" s="5" t="str">
        <f t="shared" si="107"/>
        <v>нет</v>
      </c>
      <c r="BV137" s="5" t="str">
        <f t="shared" si="202"/>
        <v>x</v>
      </c>
      <c r="BW137" s="5" t="str">
        <f t="shared" si="202"/>
        <v>x</v>
      </c>
      <c r="BX137" s="5" t="str">
        <f t="shared" si="202"/>
        <v>x</v>
      </c>
      <c r="BY137" s="5" t="str">
        <f t="shared" si="199"/>
        <v>нет</v>
      </c>
      <c r="BZ137" s="5" t="str">
        <f>"1986"</f>
        <v>1986</v>
      </c>
      <c r="CA137" s="5" t="str">
        <f>"46,00"</f>
        <v>46,00</v>
      </c>
      <c r="CB137" s="5" t="str">
        <f>"2016"</f>
        <v>2016</v>
      </c>
      <c r="CC137" s="5" t="str">
        <f>"1986"</f>
        <v>1986</v>
      </c>
      <c r="CD137" s="5" t="str">
        <f>"20,00"</f>
        <v>20,00</v>
      </c>
      <c r="CE137" s="5" t="str">
        <f>"2029"</f>
        <v>2029</v>
      </c>
      <c r="CF137" s="5" t="str">
        <f>"1986"</f>
        <v>1986</v>
      </c>
      <c r="CG137" s="5" t="str">
        <f>"20,00"</f>
        <v>20,00</v>
      </c>
      <c r="CH137" s="5" t="str">
        <f>"2027"</f>
        <v>2027</v>
      </c>
      <c r="CI137" s="5" t="str">
        <f>"18,00"</f>
        <v>18,00</v>
      </c>
      <c r="CJ137" s="5" t="str">
        <f>"2029"</f>
        <v>2029</v>
      </c>
    </row>
    <row r="138" spans="1:88" ht="11.25" customHeight="1">
      <c r="A138" s="3" t="str">
        <f>"1.125"</f>
        <v>1.125</v>
      </c>
      <c r="B138" s="4" t="str">
        <f>"г. Грязовец, ул. Ленина, д.102"</f>
        <v>г. Грязовец, ул. Ленина, д.102</v>
      </c>
      <c r="C138" s="7" t="str">
        <f>"2009"</f>
        <v>2009</v>
      </c>
      <c r="D138" s="5" t="str">
        <f>"2009"</f>
        <v>2009</v>
      </c>
      <c r="E138" s="5" t="str">
        <f>"5,00"</f>
        <v>5,00</v>
      </c>
      <c r="F138" s="5" t="str">
        <f>"2034"</f>
        <v>2034</v>
      </c>
      <c r="G138" s="5" t="str">
        <f t="shared" si="181"/>
        <v>да</v>
      </c>
      <c r="H138" s="5" t="str">
        <f>""</f>
        <v/>
      </c>
      <c r="I138" s="5" t="str">
        <f>"5,00"</f>
        <v>5,00</v>
      </c>
      <c r="J138" s="5" t="str">
        <f>"2034"</f>
        <v>2034</v>
      </c>
      <c r="K138" s="5" t="str">
        <f t="shared" si="182"/>
        <v>да</v>
      </c>
      <c r="L138" s="5" t="str">
        <f>""</f>
        <v/>
      </c>
      <c r="M138" s="5" t="str">
        <f>"5,00"</f>
        <v>5,00</v>
      </c>
      <c r="N138" s="5" t="str">
        <f>"2034"</f>
        <v>2034</v>
      </c>
      <c r="O138" s="8" t="str">
        <f>""</f>
        <v/>
      </c>
      <c r="P138" s="5" t="str">
        <f>""</f>
        <v/>
      </c>
      <c r="Q138" s="5" t="str">
        <f>""</f>
        <v/>
      </c>
      <c r="R138" s="5" t="str">
        <f>""</f>
        <v/>
      </c>
      <c r="S138" s="5" t="str">
        <f>""</f>
        <v/>
      </c>
      <c r="T138" s="5" t="str">
        <f>""</f>
        <v/>
      </c>
      <c r="U138" s="5" t="str">
        <f>""</f>
        <v/>
      </c>
      <c r="V138" s="5" t="str">
        <f>""</f>
        <v/>
      </c>
      <c r="W138" s="5" t="str">
        <f>""</f>
        <v/>
      </c>
      <c r="X138" s="5" t="str">
        <f>""</f>
        <v/>
      </c>
      <c r="Y138" s="9" t="str">
        <f>""</f>
        <v/>
      </c>
      <c r="Z138" s="5" t="str">
        <f>""</f>
        <v/>
      </c>
      <c r="AA138" s="5" t="str">
        <f>"5,00"</f>
        <v>5,00</v>
      </c>
      <c r="AB138" s="5" t="str">
        <f>"2033"</f>
        <v>2033</v>
      </c>
      <c r="AC138" s="5" t="str">
        <f t="shared" si="205"/>
        <v>нет</v>
      </c>
      <c r="AD138" s="5" t="str">
        <f>""</f>
        <v/>
      </c>
      <c r="AE138" s="5" t="str">
        <f>""</f>
        <v/>
      </c>
      <c r="AF138" s="5" t="str">
        <f>""</f>
        <v/>
      </c>
      <c r="AG138" s="5" t="str">
        <f t="shared" si="206"/>
        <v>нет</v>
      </c>
      <c r="AH138" s="5" t="str">
        <f>""</f>
        <v/>
      </c>
      <c r="AI138" s="5" t="str">
        <f>""</f>
        <v/>
      </c>
      <c r="AJ138" s="5" t="str">
        <f>""</f>
        <v/>
      </c>
      <c r="AK138" s="8" t="str">
        <f>""</f>
        <v/>
      </c>
      <c r="AL138" s="5" t="str">
        <f>"5,00"</f>
        <v>5,00</v>
      </c>
      <c r="AM138" s="5" t="str">
        <f>"2036"</f>
        <v>2036</v>
      </c>
      <c r="AN138" s="5" t="str">
        <f t="shared" si="207"/>
        <v>нет</v>
      </c>
      <c r="AO138" s="5" t="str">
        <f>""</f>
        <v/>
      </c>
      <c r="AP138" s="5" t="str">
        <f>""</f>
        <v/>
      </c>
      <c r="AQ138" s="5" t="str">
        <f>""</f>
        <v/>
      </c>
      <c r="AR138" s="5" t="str">
        <f t="shared" si="208"/>
        <v>нет</v>
      </c>
      <c r="AS138" s="5" t="str">
        <f>""</f>
        <v/>
      </c>
      <c r="AT138" s="5" t="str">
        <f>""</f>
        <v/>
      </c>
      <c r="AU138" s="5" t="str">
        <f>""</f>
        <v/>
      </c>
      <c r="AV138" s="5" t="str">
        <f>""</f>
        <v/>
      </c>
      <c r="AW138" s="5" t="str">
        <f>""</f>
        <v/>
      </c>
      <c r="AX138" s="5" t="str">
        <f>""</f>
        <v/>
      </c>
      <c r="AY138" s="5" t="str">
        <f>""</f>
        <v/>
      </c>
      <c r="AZ138" s="5" t="str">
        <f>""</f>
        <v/>
      </c>
      <c r="BA138" s="5" t="str">
        <f>""</f>
        <v/>
      </c>
      <c r="BB138" s="5" t="str">
        <f>""</f>
        <v/>
      </c>
      <c r="BC138" s="5" t="str">
        <f>""</f>
        <v/>
      </c>
      <c r="BD138" s="5" t="str">
        <f>""</f>
        <v/>
      </c>
      <c r="BE138" s="5" t="str">
        <f>""</f>
        <v/>
      </c>
      <c r="BF138" s="5" t="str">
        <f>""</f>
        <v/>
      </c>
      <c r="BG138" s="5" t="str">
        <f>""</f>
        <v/>
      </c>
      <c r="BH138" s="5" t="str">
        <f>"5,00"</f>
        <v>5,00</v>
      </c>
      <c r="BI138" s="5" t="str">
        <f>"2036"</f>
        <v>2036</v>
      </c>
      <c r="BJ138" s="5" t="str">
        <f t="shared" si="209"/>
        <v>нет</v>
      </c>
      <c r="BK138" s="5" t="str">
        <f>""</f>
        <v/>
      </c>
      <c r="BL138" s="5" t="str">
        <f>""</f>
        <v/>
      </c>
      <c r="BM138" s="5" t="str">
        <f>""</f>
        <v/>
      </c>
      <c r="BN138" s="5" t="str">
        <f t="shared" si="210"/>
        <v>нет</v>
      </c>
      <c r="BO138" s="5" t="str">
        <f>""</f>
        <v/>
      </c>
      <c r="BP138" s="5" t="str">
        <f>""</f>
        <v/>
      </c>
      <c r="BQ138" s="5" t="str">
        <f>""</f>
        <v/>
      </c>
      <c r="BR138" s="5" t="str">
        <f>"2009"</f>
        <v>2009</v>
      </c>
      <c r="BS138" s="5" t="str">
        <f>"5,00"</f>
        <v>5,00</v>
      </c>
      <c r="BT138" s="5" t="str">
        <f>"2034"</f>
        <v>2034</v>
      </c>
      <c r="BU138" s="5" t="str">
        <f t="shared" si="107"/>
        <v>нет</v>
      </c>
      <c r="BV138" s="5" t="str">
        <f t="shared" si="202"/>
        <v>x</v>
      </c>
      <c r="BW138" s="5" t="str">
        <f t="shared" si="202"/>
        <v>x</v>
      </c>
      <c r="BX138" s="5" t="str">
        <f t="shared" si="202"/>
        <v>x</v>
      </c>
      <c r="BY138" s="5" t="str">
        <f t="shared" si="199"/>
        <v>нет</v>
      </c>
      <c r="BZ138" s="5" t="str">
        <f>"2009"</f>
        <v>2009</v>
      </c>
      <c r="CA138" s="5" t="str">
        <f>"5,00"</f>
        <v>5,00</v>
      </c>
      <c r="CB138" s="5" t="str">
        <f>"2034"</f>
        <v>2034</v>
      </c>
      <c r="CC138" s="5" t="str">
        <f>"2009"</f>
        <v>2009</v>
      </c>
      <c r="CD138" s="5" t="str">
        <f>"5,00"</f>
        <v>5,00</v>
      </c>
      <c r="CE138" s="5" t="str">
        <f>"2034"</f>
        <v>2034</v>
      </c>
      <c r="CF138" s="5" t="str">
        <f>"2009"</f>
        <v>2009</v>
      </c>
      <c r="CG138" s="5" t="str">
        <f>"5,00"</f>
        <v>5,00</v>
      </c>
      <c r="CH138" s="5" t="str">
        <f>"2034"</f>
        <v>2034</v>
      </c>
      <c r="CI138" s="5" t="str">
        <f>"5,00"</f>
        <v>5,00</v>
      </c>
      <c r="CJ138" s="5" t="str">
        <f>"2040"</f>
        <v>2040</v>
      </c>
    </row>
    <row r="139" spans="1:88" ht="11.25" customHeight="1">
      <c r="A139" s="3" t="str">
        <f>"1.126"</f>
        <v>1.126</v>
      </c>
      <c r="B139" s="4" t="str">
        <f>"г. Грязовец, ул. Ленина, д.107"</f>
        <v>г. Грязовец, ул. Ленина, д.107</v>
      </c>
      <c r="C139" s="7" t="str">
        <f>"1977"</f>
        <v>1977</v>
      </c>
      <c r="D139" s="5" t="str">
        <f>"1977"</f>
        <v>1977</v>
      </c>
      <c r="E139" s="5" t="str">
        <f>"20,00"</f>
        <v>20,00</v>
      </c>
      <c r="F139" s="5" t="str">
        <f>"2035"</f>
        <v>2035</v>
      </c>
      <c r="G139" s="5" t="str">
        <f t="shared" si="181"/>
        <v>да</v>
      </c>
      <c r="H139" s="5" t="str">
        <f>""</f>
        <v/>
      </c>
      <c r="I139" s="5" t="str">
        <f>"15,00"</f>
        <v>15,00</v>
      </c>
      <c r="J139" s="5" t="str">
        <f>"2035"</f>
        <v>2035</v>
      </c>
      <c r="K139" s="5" t="str">
        <f t="shared" si="182"/>
        <v>да</v>
      </c>
      <c r="L139" s="5" t="str">
        <f>""</f>
        <v/>
      </c>
      <c r="M139" s="5" t="str">
        <f>"15,00"</f>
        <v>15,00</v>
      </c>
      <c r="N139" s="5" t="str">
        <f>"2035"</f>
        <v>2035</v>
      </c>
      <c r="O139" s="8" t="str">
        <f>""</f>
        <v/>
      </c>
      <c r="P139" s="5" t="str">
        <f>"15,00"</f>
        <v>15,00</v>
      </c>
      <c r="Q139" s="5" t="str">
        <f>"2036"</f>
        <v>2036</v>
      </c>
      <c r="R139" s="5" t="str">
        <f t="shared" ref="R139:R144" si="211">"нет"</f>
        <v>нет</v>
      </c>
      <c r="S139" s="5" t="str">
        <f>""</f>
        <v/>
      </c>
      <c r="T139" s="5" t="str">
        <f>""</f>
        <v/>
      </c>
      <c r="U139" s="5" t="str">
        <f>""</f>
        <v/>
      </c>
      <c r="V139" s="5" t="str">
        <f t="shared" ref="V139:V144" si="212">"нет"</f>
        <v>нет</v>
      </c>
      <c r="W139" s="5" t="str">
        <f>""</f>
        <v/>
      </c>
      <c r="X139" s="5" t="str">
        <f>""</f>
        <v/>
      </c>
      <c r="Y139" s="9" t="str">
        <f>""</f>
        <v/>
      </c>
      <c r="Z139" s="5" t="str">
        <f>""</f>
        <v/>
      </c>
      <c r="AA139" s="5" t="str">
        <f>"15,00"</f>
        <v>15,00</v>
      </c>
      <c r="AB139" s="5" t="str">
        <f>"2037"</f>
        <v>2037</v>
      </c>
      <c r="AC139" s="5" t="str">
        <f t="shared" si="205"/>
        <v>нет</v>
      </c>
      <c r="AD139" s="5" t="str">
        <f>""</f>
        <v/>
      </c>
      <c r="AE139" s="5" t="str">
        <f>""</f>
        <v/>
      </c>
      <c r="AF139" s="5" t="str">
        <f>""</f>
        <v/>
      </c>
      <c r="AG139" s="5" t="str">
        <f t="shared" si="206"/>
        <v>нет</v>
      </c>
      <c r="AH139" s="5" t="str">
        <f>""</f>
        <v/>
      </c>
      <c r="AI139" s="5" t="str">
        <f>""</f>
        <v/>
      </c>
      <c r="AJ139" s="5" t="str">
        <f>""</f>
        <v/>
      </c>
      <c r="AK139" s="8" t="str">
        <f>""</f>
        <v/>
      </c>
      <c r="AL139" s="5" t="str">
        <f>"15,00"</f>
        <v>15,00</v>
      </c>
      <c r="AM139" s="5" t="str">
        <f>"2038"</f>
        <v>2038</v>
      </c>
      <c r="AN139" s="5" t="str">
        <f t="shared" si="207"/>
        <v>нет</v>
      </c>
      <c r="AO139" s="5" t="str">
        <f>""</f>
        <v/>
      </c>
      <c r="AP139" s="5" t="str">
        <f>""</f>
        <v/>
      </c>
      <c r="AQ139" s="5" t="str">
        <f>""</f>
        <v/>
      </c>
      <c r="AR139" s="5" t="str">
        <f t="shared" si="208"/>
        <v>нет</v>
      </c>
      <c r="AS139" s="5" t="str">
        <f>""</f>
        <v/>
      </c>
      <c r="AT139" s="5" t="str">
        <f>""</f>
        <v/>
      </c>
      <c r="AU139" s="5" t="str">
        <f>""</f>
        <v/>
      </c>
      <c r="AV139" s="5" t="str">
        <f t="shared" ref="AV139:BF139" si="213">"х"</f>
        <v>х</v>
      </c>
      <c r="AW139" s="5" t="str">
        <f t="shared" si="213"/>
        <v>х</v>
      </c>
      <c r="AX139" s="5" t="str">
        <f t="shared" si="213"/>
        <v>х</v>
      </c>
      <c r="AY139" s="5" t="str">
        <f t="shared" si="213"/>
        <v>х</v>
      </c>
      <c r="AZ139" s="5" t="str">
        <f t="shared" si="213"/>
        <v>х</v>
      </c>
      <c r="BA139" s="5" t="str">
        <f t="shared" si="213"/>
        <v>х</v>
      </c>
      <c r="BB139" s="5" t="str">
        <f t="shared" si="213"/>
        <v>х</v>
      </c>
      <c r="BC139" s="5" t="str">
        <f t="shared" si="213"/>
        <v>х</v>
      </c>
      <c r="BD139" s="5" t="str">
        <f t="shared" si="213"/>
        <v>х</v>
      </c>
      <c r="BE139" s="5" t="str">
        <f t="shared" si="213"/>
        <v>х</v>
      </c>
      <c r="BF139" s="5" t="str">
        <f t="shared" si="213"/>
        <v>х</v>
      </c>
      <c r="BG139" s="5" t="str">
        <f>""</f>
        <v/>
      </c>
      <c r="BH139" s="5" t="str">
        <f>"15,00"</f>
        <v>15,00</v>
      </c>
      <c r="BI139" s="5" t="str">
        <f>"2035"</f>
        <v>2035</v>
      </c>
      <c r="BJ139" s="5" t="str">
        <f t="shared" si="209"/>
        <v>нет</v>
      </c>
      <c r="BK139" s="5" t="str">
        <f>""</f>
        <v/>
      </c>
      <c r="BL139" s="5" t="str">
        <f>""</f>
        <v/>
      </c>
      <c r="BM139" s="5" t="str">
        <f>""</f>
        <v/>
      </c>
      <c r="BN139" s="5" t="str">
        <f t="shared" si="210"/>
        <v>нет</v>
      </c>
      <c r="BO139" s="5" t="str">
        <f>""</f>
        <v/>
      </c>
      <c r="BP139" s="5" t="str">
        <f>""</f>
        <v/>
      </c>
      <c r="BQ139" s="5" t="str">
        <f>""</f>
        <v/>
      </c>
      <c r="BR139" s="5" t="str">
        <f>"1977"</f>
        <v>1977</v>
      </c>
      <c r="BS139" s="5" t="str">
        <f>"20,00"</f>
        <v>20,00</v>
      </c>
      <c r="BT139" s="5" t="str">
        <f>"2025"</f>
        <v>2025</v>
      </c>
      <c r="BU139" s="5" t="str">
        <f t="shared" si="107"/>
        <v>нет</v>
      </c>
      <c r="BV139" s="5" t="str">
        <f t="shared" si="202"/>
        <v>x</v>
      </c>
      <c r="BW139" s="5" t="str">
        <f t="shared" si="202"/>
        <v>x</v>
      </c>
      <c r="BX139" s="5" t="str">
        <f t="shared" si="202"/>
        <v>x</v>
      </c>
      <c r="BY139" s="5" t="str">
        <f t="shared" si="199"/>
        <v>нет</v>
      </c>
      <c r="BZ139" s="5" t="str">
        <f>"1977"</f>
        <v>1977</v>
      </c>
      <c r="CA139" s="5" t="str">
        <f>"20,00"</f>
        <v>20,00</v>
      </c>
      <c r="CB139" s="5" t="str">
        <f>"2026"</f>
        <v>2026</v>
      </c>
      <c r="CC139" s="5" t="str">
        <f>""</f>
        <v/>
      </c>
      <c r="CD139" s="5" t="str">
        <f>"23,00"</f>
        <v>23,00</v>
      </c>
      <c r="CE139" s="5" t="str">
        <f>"2027"</f>
        <v>2027</v>
      </c>
      <c r="CF139" s="5" t="str">
        <f>"1977"</f>
        <v>1977</v>
      </c>
      <c r="CG139" s="5" t="str">
        <f>"20,00"</f>
        <v>20,00</v>
      </c>
      <c r="CH139" s="5" t="str">
        <f>"2028"</f>
        <v>2028</v>
      </c>
      <c r="CI139" s="5" t="str">
        <f>"19,00"</f>
        <v>19,00</v>
      </c>
      <c r="CJ139" s="5" t="str">
        <f>"2038"</f>
        <v>2038</v>
      </c>
    </row>
    <row r="140" spans="1:88" ht="11.25" customHeight="1">
      <c r="A140" s="3" t="str">
        <f>"1.127"</f>
        <v>1.127</v>
      </c>
      <c r="B140" s="4" t="str">
        <f>"г. Грязовец, ул. Ленина, д.109"</f>
        <v>г. Грязовец, ул. Ленина, д.109</v>
      </c>
      <c r="C140" s="7" t="str">
        <f>"1984"</f>
        <v>1984</v>
      </c>
      <c r="D140" s="5" t="str">
        <f>"1984"</f>
        <v>1984</v>
      </c>
      <c r="E140" s="5" t="str">
        <f>"20,00"</f>
        <v>20,00</v>
      </c>
      <c r="F140" s="5" t="str">
        <f>"2027"</f>
        <v>2027</v>
      </c>
      <c r="G140" s="5" t="str">
        <f t="shared" si="181"/>
        <v>да</v>
      </c>
      <c r="H140" s="5" t="str">
        <f>""</f>
        <v/>
      </c>
      <c r="I140" s="5" t="str">
        <f>"20,00"</f>
        <v>20,00</v>
      </c>
      <c r="J140" s="5" t="str">
        <f>"2027"</f>
        <v>2027</v>
      </c>
      <c r="K140" s="5" t="str">
        <f t="shared" si="182"/>
        <v>да</v>
      </c>
      <c r="L140" s="5" t="str">
        <f>""</f>
        <v/>
      </c>
      <c r="M140" s="5" t="str">
        <f>"20,00"</f>
        <v>20,00</v>
      </c>
      <c r="N140" s="5" t="str">
        <f>"2027"</f>
        <v>2027</v>
      </c>
      <c r="O140" s="8" t="str">
        <f>"1984"</f>
        <v>1984</v>
      </c>
      <c r="P140" s="5" t="str">
        <f>"20,00"</f>
        <v>20,00</v>
      </c>
      <c r="Q140" s="5" t="str">
        <f>"2026"</f>
        <v>2026</v>
      </c>
      <c r="R140" s="5" t="str">
        <f t="shared" si="211"/>
        <v>нет</v>
      </c>
      <c r="S140" s="5" t="str">
        <f>""</f>
        <v/>
      </c>
      <c r="T140" s="5" t="str">
        <f>""</f>
        <v/>
      </c>
      <c r="U140" s="5" t="str">
        <f>""</f>
        <v/>
      </c>
      <c r="V140" s="5" t="str">
        <f t="shared" si="212"/>
        <v>нет</v>
      </c>
      <c r="W140" s="5" t="str">
        <f>""</f>
        <v/>
      </c>
      <c r="X140" s="5" t="str">
        <f>""</f>
        <v/>
      </c>
      <c r="Y140" s="9" t="str">
        <f>""</f>
        <v/>
      </c>
      <c r="Z140" s="5" t="str">
        <f>"1984"</f>
        <v>1984</v>
      </c>
      <c r="AA140" s="5" t="str">
        <f>"20,00"</f>
        <v>20,00</v>
      </c>
      <c r="AB140" s="5" t="str">
        <f>"2026"</f>
        <v>2026</v>
      </c>
      <c r="AC140" s="5" t="str">
        <f t="shared" si="205"/>
        <v>нет</v>
      </c>
      <c r="AD140" s="5" t="str">
        <f>""</f>
        <v/>
      </c>
      <c r="AE140" s="5" t="str">
        <f>""</f>
        <v/>
      </c>
      <c r="AF140" s="5" t="str">
        <f>""</f>
        <v/>
      </c>
      <c r="AG140" s="5" t="str">
        <f t="shared" si="206"/>
        <v>нет</v>
      </c>
      <c r="AH140" s="5" t="str">
        <f>""</f>
        <v/>
      </c>
      <c r="AI140" s="5" t="str">
        <f>""</f>
        <v/>
      </c>
      <c r="AJ140" s="5" t="str">
        <f>""</f>
        <v/>
      </c>
      <c r="AK140" s="8" t="str">
        <f>"1984"</f>
        <v>1984</v>
      </c>
      <c r="AL140" s="5" t="str">
        <f>"20,00"</f>
        <v>20,00</v>
      </c>
      <c r="AM140" s="5" t="str">
        <f>"2026"</f>
        <v>2026</v>
      </c>
      <c r="AN140" s="5" t="str">
        <f t="shared" si="207"/>
        <v>нет</v>
      </c>
      <c r="AO140" s="5" t="str">
        <f>""</f>
        <v/>
      </c>
      <c r="AP140" s="5" t="str">
        <f>""</f>
        <v/>
      </c>
      <c r="AQ140" s="5" t="str">
        <f>""</f>
        <v/>
      </c>
      <c r="AR140" s="5" t="str">
        <f t="shared" si="208"/>
        <v>нет</v>
      </c>
      <c r="AS140" s="5" t="str">
        <f>""</f>
        <v/>
      </c>
      <c r="AT140" s="5" t="str">
        <f>""</f>
        <v/>
      </c>
      <c r="AU140" s="5" t="str">
        <f>""</f>
        <v/>
      </c>
      <c r="AV140" s="5" t="str">
        <f>"х"</f>
        <v>х</v>
      </c>
      <c r="AW140" s="5" t="str">
        <f>"х"</f>
        <v>х</v>
      </c>
      <c r="AX140" s="5" t="str">
        <f>"х"</f>
        <v>х</v>
      </c>
      <c r="AY140" s="5" t="str">
        <f>"нет"</f>
        <v>нет</v>
      </c>
      <c r="AZ140" s="5" t="str">
        <f t="shared" ref="AZ140:BB153" si="214">"х"</f>
        <v>х</v>
      </c>
      <c r="BA140" s="5" t="str">
        <f t="shared" si="214"/>
        <v>х</v>
      </c>
      <c r="BB140" s="5" t="str">
        <f t="shared" si="214"/>
        <v>х</v>
      </c>
      <c r="BC140" s="5" t="str">
        <f>"нет"</f>
        <v>нет</v>
      </c>
      <c r="BD140" s="5" t="str">
        <f t="shared" ref="BD140:BF153" si="215">"х"</f>
        <v>х</v>
      </c>
      <c r="BE140" s="5" t="str">
        <f t="shared" si="215"/>
        <v>х</v>
      </c>
      <c r="BF140" s="5" t="str">
        <f t="shared" si="215"/>
        <v>х</v>
      </c>
      <c r="BG140" s="5" t="str">
        <f>"1984"</f>
        <v>1984</v>
      </c>
      <c r="BH140" s="5" t="str">
        <f>"20,00"</f>
        <v>20,00</v>
      </c>
      <c r="BI140" s="5" t="str">
        <f>"2027"</f>
        <v>2027</v>
      </c>
      <c r="BJ140" s="5" t="str">
        <f t="shared" si="209"/>
        <v>нет</v>
      </c>
      <c r="BK140" s="5" t="str">
        <f>""</f>
        <v/>
      </c>
      <c r="BL140" s="5" t="str">
        <f>""</f>
        <v/>
      </c>
      <c r="BM140" s="5" t="str">
        <f>""</f>
        <v/>
      </c>
      <c r="BN140" s="5" t="str">
        <f t="shared" si="210"/>
        <v>нет</v>
      </c>
      <c r="BO140" s="5" t="str">
        <f>""</f>
        <v/>
      </c>
      <c r="BP140" s="5" t="str">
        <f>""</f>
        <v/>
      </c>
      <c r="BQ140" s="5" t="str">
        <f>""</f>
        <v/>
      </c>
      <c r="BR140" s="5" t="str">
        <f>"1984"</f>
        <v>1984</v>
      </c>
      <c r="BS140" s="5" t="str">
        <f>"20,00"</f>
        <v>20,00</v>
      </c>
      <c r="BT140" s="5" t="str">
        <f>"2027"</f>
        <v>2027</v>
      </c>
      <c r="BU140" s="5" t="str">
        <f t="shared" si="107"/>
        <v>нет</v>
      </c>
      <c r="BV140" s="5" t="str">
        <f t="shared" si="202"/>
        <v>x</v>
      </c>
      <c r="BW140" s="5" t="str">
        <f t="shared" si="202"/>
        <v>x</v>
      </c>
      <c r="BX140" s="5" t="str">
        <f t="shared" si="202"/>
        <v>x</v>
      </c>
      <c r="BY140" s="5" t="str">
        <f>"да"</f>
        <v>да</v>
      </c>
      <c r="BZ140" s="5" t="str">
        <f>"1984"</f>
        <v>1984</v>
      </c>
      <c r="CA140" s="5" t="str">
        <f>"20,00"</f>
        <v>20,00</v>
      </c>
      <c r="CB140" s="5" t="str">
        <f>"2027"</f>
        <v>2027</v>
      </c>
      <c r="CC140" s="5" t="str">
        <f>""</f>
        <v/>
      </c>
      <c r="CD140" s="5" t="str">
        <f>"10,00"</f>
        <v>10,00</v>
      </c>
      <c r="CE140" s="5" t="str">
        <f>"2028"</f>
        <v>2028</v>
      </c>
      <c r="CF140" s="5" t="str">
        <f>"1984"</f>
        <v>1984</v>
      </c>
      <c r="CG140" s="5" t="str">
        <f>"10,00"</f>
        <v>10,00</v>
      </c>
      <c r="CH140" s="5" t="str">
        <f>"2028"</f>
        <v>2028</v>
      </c>
      <c r="CI140" s="5" t="str">
        <f>"14,00"</f>
        <v>14,00</v>
      </c>
      <c r="CJ140" s="5" t="str">
        <f>"2027"</f>
        <v>2027</v>
      </c>
    </row>
    <row r="141" spans="1:88" ht="11.25" customHeight="1">
      <c r="A141" s="3" t="str">
        <f>"1.128"</f>
        <v>1.128</v>
      </c>
      <c r="B141" s="4" t="str">
        <f>"г. Грязовец, ул. Ленина, д.110"</f>
        <v>г. Грязовец, ул. Ленина, д.110</v>
      </c>
      <c r="C141" s="7" t="str">
        <f>"1964"</f>
        <v>1964</v>
      </c>
      <c r="D141" s="5" t="str">
        <f>"1964"</f>
        <v>1964</v>
      </c>
      <c r="E141" s="5" t="str">
        <f>"40,00"</f>
        <v>40,00</v>
      </c>
      <c r="F141" s="5" t="str">
        <f>"2016"</f>
        <v>2016</v>
      </c>
      <c r="G141" s="5" t="str">
        <f>"нет"</f>
        <v>нет</v>
      </c>
      <c r="H141" s="5" t="str">
        <f>""</f>
        <v/>
      </c>
      <c r="I141" s="5" t="str">
        <f>""</f>
        <v/>
      </c>
      <c r="J141" s="5" t="str">
        <f>""</f>
        <v/>
      </c>
      <c r="K141" s="5" t="str">
        <f>"нет"</f>
        <v>нет</v>
      </c>
      <c r="L141" s="5" t="str">
        <f>""</f>
        <v/>
      </c>
      <c r="M141" s="5" t="str">
        <f>""</f>
        <v/>
      </c>
      <c r="N141" s="5" t="str">
        <f>""</f>
        <v/>
      </c>
      <c r="O141" s="8" t="str">
        <f>"1964"</f>
        <v>1964</v>
      </c>
      <c r="P141" s="5" t="str">
        <f>"35,00"</f>
        <v>35,00</v>
      </c>
      <c r="Q141" s="5" t="str">
        <f>"2020"</f>
        <v>2020</v>
      </c>
      <c r="R141" s="5" t="str">
        <f t="shared" si="211"/>
        <v>нет</v>
      </c>
      <c r="S141" s="5" t="str">
        <f t="shared" ref="S141:U144" si="216">"х"</f>
        <v>х</v>
      </c>
      <c r="T141" s="5" t="str">
        <f t="shared" si="216"/>
        <v>х</v>
      </c>
      <c r="U141" s="5" t="str">
        <f t="shared" si="216"/>
        <v>х</v>
      </c>
      <c r="V141" s="5" t="str">
        <f t="shared" si="212"/>
        <v>нет</v>
      </c>
      <c r="W141" s="5" t="str">
        <f t="shared" ref="W141:Y144" si="217">"х"</f>
        <v>х</v>
      </c>
      <c r="X141" s="5" t="str">
        <f t="shared" si="217"/>
        <v>х</v>
      </c>
      <c r="Y141" s="9" t="str">
        <f t="shared" si="217"/>
        <v>х</v>
      </c>
      <c r="Z141" s="5" t="str">
        <f>""</f>
        <v/>
      </c>
      <c r="AA141" s="5" t="str">
        <f>"30,00"</f>
        <v>30,00</v>
      </c>
      <c r="AB141" s="5" t="str">
        <f>"2027"</f>
        <v>2027</v>
      </c>
      <c r="AC141" s="5" t="str">
        <f t="shared" si="205"/>
        <v>нет</v>
      </c>
      <c r="AD141" s="5" t="str">
        <f>""</f>
        <v/>
      </c>
      <c r="AE141" s="5" t="str">
        <f>""</f>
        <v/>
      </c>
      <c r="AF141" s="5" t="str">
        <f>""</f>
        <v/>
      </c>
      <c r="AG141" s="5" t="str">
        <f t="shared" si="206"/>
        <v>нет</v>
      </c>
      <c r="AH141" s="5" t="str">
        <f>""</f>
        <v/>
      </c>
      <c r="AI141" s="5" t="str">
        <f>""</f>
        <v/>
      </c>
      <c r="AJ141" s="5" t="str">
        <f>""</f>
        <v/>
      </c>
      <c r="AK141" s="8" t="str">
        <f>"1964"</f>
        <v>1964</v>
      </c>
      <c r="AL141" s="5" t="str">
        <f>"35,00"</f>
        <v>35,00</v>
      </c>
      <c r="AM141" s="5" t="str">
        <f>"2019"</f>
        <v>2019</v>
      </c>
      <c r="AN141" s="5" t="str">
        <f t="shared" si="207"/>
        <v>нет</v>
      </c>
      <c r="AO141" s="5" t="str">
        <f t="shared" ref="AO141:AQ149" si="218">"х"</f>
        <v>х</v>
      </c>
      <c r="AP141" s="5" t="str">
        <f t="shared" si="218"/>
        <v>х</v>
      </c>
      <c r="AQ141" s="5" t="str">
        <f t="shared" si="218"/>
        <v>х</v>
      </c>
      <c r="AR141" s="5" t="str">
        <f t="shared" si="208"/>
        <v>нет</v>
      </c>
      <c r="AS141" s="5" t="str">
        <f>"х"</f>
        <v>х</v>
      </c>
      <c r="AT141" s="5" t="str">
        <f>"х"</f>
        <v>х</v>
      </c>
      <c r="AU141" s="5" t="str">
        <f>"х"</f>
        <v>х</v>
      </c>
      <c r="AV141" s="5" t="str">
        <f>"х"</f>
        <v>х</v>
      </c>
      <c r="AW141" s="5" t="str">
        <f>"55,00"</f>
        <v>55,00</v>
      </c>
      <c r="AX141" s="5" t="str">
        <f>"2016"</f>
        <v>2016</v>
      </c>
      <c r="AY141" s="5" t="str">
        <f>"нет"</f>
        <v>нет</v>
      </c>
      <c r="AZ141" s="5" t="str">
        <f t="shared" si="214"/>
        <v>х</v>
      </c>
      <c r="BA141" s="5" t="str">
        <f t="shared" si="214"/>
        <v>х</v>
      </c>
      <c r="BB141" s="5" t="str">
        <f t="shared" si="214"/>
        <v>х</v>
      </c>
      <c r="BC141" s="5" t="str">
        <f>"нет"</f>
        <v>нет</v>
      </c>
      <c r="BD141" s="5" t="str">
        <f t="shared" si="215"/>
        <v>х</v>
      </c>
      <c r="BE141" s="5" t="str">
        <f t="shared" si="215"/>
        <v>х</v>
      </c>
      <c r="BF141" s="5" t="str">
        <f t="shared" si="215"/>
        <v>х</v>
      </c>
      <c r="BG141" s="5" t="str">
        <f>"1964"</f>
        <v>1964</v>
      </c>
      <c r="BH141" s="5" t="str">
        <f>"35,00"</f>
        <v>35,00</v>
      </c>
      <c r="BI141" s="5" t="str">
        <f>"2020"</f>
        <v>2020</v>
      </c>
      <c r="BJ141" s="5" t="str">
        <f t="shared" si="209"/>
        <v>нет</v>
      </c>
      <c r="BK141" s="5" t="str">
        <f t="shared" ref="BK141:BM153" si="219">"х"</f>
        <v>х</v>
      </c>
      <c r="BL141" s="5" t="str">
        <f t="shared" si="219"/>
        <v>х</v>
      </c>
      <c r="BM141" s="5" t="str">
        <f t="shared" si="219"/>
        <v>х</v>
      </c>
      <c r="BN141" s="5" t="str">
        <f t="shared" si="210"/>
        <v>нет</v>
      </c>
      <c r="BO141" s="5" t="str">
        <f t="shared" ref="BO141:BQ153" si="220">"х"</f>
        <v>х</v>
      </c>
      <c r="BP141" s="5" t="str">
        <f t="shared" si="220"/>
        <v>х</v>
      </c>
      <c r="BQ141" s="5" t="str">
        <f t="shared" si="220"/>
        <v>х</v>
      </c>
      <c r="BR141" s="5" t="str">
        <f>"1964"</f>
        <v>1964</v>
      </c>
      <c r="BS141" s="5" t="str">
        <f>"52,00"</f>
        <v>52,00</v>
      </c>
      <c r="BT141" s="5" t="str">
        <f>"2016"</f>
        <v>2016</v>
      </c>
      <c r="BU141" s="5" t="str">
        <f t="shared" si="107"/>
        <v>нет</v>
      </c>
      <c r="BV141" s="5" t="str">
        <f t="shared" si="202"/>
        <v>x</v>
      </c>
      <c r="BW141" s="5" t="str">
        <f t="shared" si="202"/>
        <v>x</v>
      </c>
      <c r="BX141" s="5" t="str">
        <f t="shared" si="202"/>
        <v>x</v>
      </c>
      <c r="BY141" s="5" t="str">
        <f t="shared" ref="BY141:BY172" si="221">"нет"</f>
        <v>нет</v>
      </c>
      <c r="BZ141" s="5" t="str">
        <f>"x"</f>
        <v>x</v>
      </c>
      <c r="CA141" s="5" t="str">
        <f>"x"</f>
        <v>x</v>
      </c>
      <c r="CB141" s="5" t="str">
        <f>"x"</f>
        <v>x</v>
      </c>
      <c r="CC141" s="5" t="str">
        <f>""</f>
        <v/>
      </c>
      <c r="CD141" s="5" t="str">
        <f>"30,00"</f>
        <v>30,00</v>
      </c>
      <c r="CE141" s="5" t="str">
        <f>"2026"</f>
        <v>2026</v>
      </c>
      <c r="CF141" s="5" t="str">
        <f>"1964"</f>
        <v>1964</v>
      </c>
      <c r="CG141" s="5" t="str">
        <f>"35,00"</f>
        <v>35,00</v>
      </c>
      <c r="CH141" s="5" t="str">
        <f>"2025"</f>
        <v>2025</v>
      </c>
      <c r="CI141" s="5" t="str">
        <f>"35,00"</f>
        <v>35,00</v>
      </c>
      <c r="CJ141" s="5" t="str">
        <f>"2041"</f>
        <v>2041</v>
      </c>
    </row>
    <row r="142" spans="1:88" ht="11.25" customHeight="1">
      <c r="A142" s="3" t="str">
        <f>"1.129"</f>
        <v>1.129</v>
      </c>
      <c r="B142" s="4" t="str">
        <f>"г. Грязовец, ул. Ленина, д.113"</f>
        <v>г. Грязовец, ул. Ленина, д.113</v>
      </c>
      <c r="C142" s="7" t="str">
        <f>"1996"</f>
        <v>1996</v>
      </c>
      <c r="D142" s="5" t="str">
        <f>"1996"</f>
        <v>1996</v>
      </c>
      <c r="E142" s="5" t="str">
        <f>"10,00"</f>
        <v>10,00</v>
      </c>
      <c r="F142" s="5" t="str">
        <f>"2021"</f>
        <v>2021</v>
      </c>
      <c r="G142" s="5" t="str">
        <f>"да"</f>
        <v>да</v>
      </c>
      <c r="H142" s="5" t="str">
        <f>""</f>
        <v/>
      </c>
      <c r="I142" s="5" t="str">
        <f>"10,00"</f>
        <v>10,00</v>
      </c>
      <c r="J142" s="5" t="str">
        <f>"2021"</f>
        <v>2021</v>
      </c>
      <c r="K142" s="5" t="str">
        <f>"да"</f>
        <v>да</v>
      </c>
      <c r="L142" s="5" t="str">
        <f>""</f>
        <v/>
      </c>
      <c r="M142" s="5" t="str">
        <f>"10,00"</f>
        <v>10,00</v>
      </c>
      <c r="N142" s="5" t="str">
        <f>"2021"</f>
        <v>2021</v>
      </c>
      <c r="O142" s="8" t="str">
        <f>"1996"</f>
        <v>1996</v>
      </c>
      <c r="P142" s="5" t="str">
        <f>"10,00"</f>
        <v>10,00</v>
      </c>
      <c r="Q142" s="5" t="str">
        <f>"2021"</f>
        <v>2021</v>
      </c>
      <c r="R142" s="5" t="str">
        <f t="shared" si="211"/>
        <v>нет</v>
      </c>
      <c r="S142" s="5" t="str">
        <f t="shared" si="216"/>
        <v>х</v>
      </c>
      <c r="T142" s="5" t="str">
        <f t="shared" si="216"/>
        <v>х</v>
      </c>
      <c r="U142" s="5" t="str">
        <f t="shared" si="216"/>
        <v>х</v>
      </c>
      <c r="V142" s="5" t="str">
        <f t="shared" si="212"/>
        <v>нет</v>
      </c>
      <c r="W142" s="5" t="str">
        <f t="shared" si="217"/>
        <v>х</v>
      </c>
      <c r="X142" s="5" t="str">
        <f t="shared" si="217"/>
        <v>х</v>
      </c>
      <c r="Y142" s="9" t="str">
        <f t="shared" si="217"/>
        <v>х</v>
      </c>
      <c r="Z142" s="5" t="str">
        <f>"1996"</f>
        <v>1996</v>
      </c>
      <c r="AA142" s="5" t="str">
        <f>"5,00"</f>
        <v>5,00</v>
      </c>
      <c r="AB142" s="5" t="str">
        <f>"2021"</f>
        <v>2021</v>
      </c>
      <c r="AC142" s="5" t="str">
        <f t="shared" si="205"/>
        <v>нет</v>
      </c>
      <c r="AD142" s="5" t="str">
        <f>"х"</f>
        <v>х</v>
      </c>
      <c r="AE142" s="5" t="str">
        <f>"х"</f>
        <v>х</v>
      </c>
      <c r="AF142" s="5" t="str">
        <f>"х"</f>
        <v>х</v>
      </c>
      <c r="AG142" s="5" t="str">
        <f t="shared" si="206"/>
        <v>нет</v>
      </c>
      <c r="AH142" s="5" t="str">
        <f>"х"</f>
        <v>х</v>
      </c>
      <c r="AI142" s="5" t="str">
        <f>"х"</f>
        <v>х</v>
      </c>
      <c r="AJ142" s="5" t="str">
        <f>"х"</f>
        <v>х</v>
      </c>
      <c r="AK142" s="8" t="str">
        <f>"1996"</f>
        <v>1996</v>
      </c>
      <c r="AL142" s="5" t="str">
        <f>"10,00"</f>
        <v>10,00</v>
      </c>
      <c r="AM142" s="5" t="str">
        <f>"2021"</f>
        <v>2021</v>
      </c>
      <c r="AN142" s="5" t="str">
        <f t="shared" si="207"/>
        <v>нет</v>
      </c>
      <c r="AO142" s="5" t="str">
        <f t="shared" si="218"/>
        <v>х</v>
      </c>
      <c r="AP142" s="5" t="str">
        <f t="shared" si="218"/>
        <v>х</v>
      </c>
      <c r="AQ142" s="5" t="str">
        <f t="shared" si="218"/>
        <v>х</v>
      </c>
      <c r="AR142" s="5" t="str">
        <f t="shared" si="208"/>
        <v>нет</v>
      </c>
      <c r="AS142" s="5" t="str">
        <f t="shared" ref="AS142:AU149" si="222">"х"</f>
        <v>х</v>
      </c>
      <c r="AT142" s="5" t="str">
        <f t="shared" si="222"/>
        <v>х</v>
      </c>
      <c r="AU142" s="5" t="str">
        <f t="shared" si="222"/>
        <v>х</v>
      </c>
      <c r="AV142" s="5" t="str">
        <f>"1996"</f>
        <v>1996</v>
      </c>
      <c r="AW142" s="5" t="str">
        <f>"10,00"</f>
        <v>10,00</v>
      </c>
      <c r="AX142" s="5" t="str">
        <f>"2021"</f>
        <v>2021</v>
      </c>
      <c r="AY142" s="5" t="str">
        <f>"нет"</f>
        <v>нет</v>
      </c>
      <c r="AZ142" s="5" t="str">
        <f t="shared" si="214"/>
        <v>х</v>
      </c>
      <c r="BA142" s="5" t="str">
        <f t="shared" si="214"/>
        <v>х</v>
      </c>
      <c r="BB142" s="5" t="str">
        <f t="shared" si="214"/>
        <v>х</v>
      </c>
      <c r="BC142" s="5" t="str">
        <f>"нет"</f>
        <v>нет</v>
      </c>
      <c r="BD142" s="5" t="str">
        <f t="shared" si="215"/>
        <v>х</v>
      </c>
      <c r="BE142" s="5" t="str">
        <f t="shared" si="215"/>
        <v>х</v>
      </c>
      <c r="BF142" s="5" t="str">
        <f t="shared" si="215"/>
        <v>х</v>
      </c>
      <c r="BG142" s="5" t="str">
        <f>"1996"</f>
        <v>1996</v>
      </c>
      <c r="BH142" s="5" t="str">
        <f>"5,00"</f>
        <v>5,00</v>
      </c>
      <c r="BI142" s="5" t="str">
        <f>"2021"</f>
        <v>2021</v>
      </c>
      <c r="BJ142" s="5" t="str">
        <f t="shared" si="209"/>
        <v>нет</v>
      </c>
      <c r="BK142" s="5" t="str">
        <f t="shared" si="219"/>
        <v>х</v>
      </c>
      <c r="BL142" s="5" t="str">
        <f t="shared" si="219"/>
        <v>х</v>
      </c>
      <c r="BM142" s="5" t="str">
        <f t="shared" si="219"/>
        <v>х</v>
      </c>
      <c r="BN142" s="5" t="str">
        <f t="shared" si="210"/>
        <v>нет</v>
      </c>
      <c r="BO142" s="5" t="str">
        <f t="shared" si="220"/>
        <v>х</v>
      </c>
      <c r="BP142" s="5" t="str">
        <f t="shared" si="220"/>
        <v>х</v>
      </c>
      <c r="BQ142" s="5" t="str">
        <f t="shared" si="220"/>
        <v>х</v>
      </c>
      <c r="BR142" s="5" t="str">
        <f>"1996"</f>
        <v>1996</v>
      </c>
      <c r="BS142" s="5" t="str">
        <f>"10,00"</f>
        <v>10,00</v>
      </c>
      <c r="BT142" s="5" t="str">
        <f>"2021"</f>
        <v>2021</v>
      </c>
      <c r="BU142" s="5" t="str">
        <f t="shared" ref="BU142:BU205" si="223">"нет"</f>
        <v>нет</v>
      </c>
      <c r="BV142" s="5" t="str">
        <f t="shared" si="202"/>
        <v>x</v>
      </c>
      <c r="BW142" s="5" t="str">
        <f t="shared" si="202"/>
        <v>x</v>
      </c>
      <c r="BX142" s="5" t="str">
        <f t="shared" si="202"/>
        <v>x</v>
      </c>
      <c r="BY142" s="5" t="str">
        <f t="shared" si="221"/>
        <v>нет</v>
      </c>
      <c r="BZ142" s="5" t="str">
        <f>"1996"</f>
        <v>1996</v>
      </c>
      <c r="CA142" s="5" t="str">
        <f>"10,00"</f>
        <v>10,00</v>
      </c>
      <c r="CB142" s="5" t="str">
        <f>"2021"</f>
        <v>2021</v>
      </c>
      <c r="CC142" s="5" t="str">
        <f>""</f>
        <v/>
      </c>
      <c r="CD142" s="5" t="str">
        <f>"10,00"</f>
        <v>10,00</v>
      </c>
      <c r="CE142" s="5" t="str">
        <f>"2030"</f>
        <v>2030</v>
      </c>
      <c r="CF142" s="5" t="str">
        <f>"1996"</f>
        <v>1996</v>
      </c>
      <c r="CG142" s="5" t="str">
        <f>"10,00"</f>
        <v>10,00</v>
      </c>
      <c r="CH142" s="5" t="str">
        <f>"2031"</f>
        <v>2031</v>
      </c>
      <c r="CI142" s="5" t="str">
        <f>"5,00"</f>
        <v>5,00</v>
      </c>
      <c r="CJ142" s="5" t="str">
        <f>"2021"</f>
        <v>2021</v>
      </c>
    </row>
    <row r="143" spans="1:88" ht="11.25" customHeight="1">
      <c r="A143" s="3" t="str">
        <f>"1.130"</f>
        <v>1.130</v>
      </c>
      <c r="B143" s="4" t="str">
        <f>"г. Грязовец, ул. Ленина, д.115"</f>
        <v>г. Грязовец, ул. Ленина, д.115</v>
      </c>
      <c r="C143" s="7" t="str">
        <f>"1987"</f>
        <v>1987</v>
      </c>
      <c r="D143" s="5" t="str">
        <f>"1987"</f>
        <v>1987</v>
      </c>
      <c r="E143" s="5" t="str">
        <f>"20,00"</f>
        <v>20,00</v>
      </c>
      <c r="F143" s="5" t="str">
        <f>"2033"</f>
        <v>2033</v>
      </c>
      <c r="G143" s="5" t="str">
        <f>"да"</f>
        <v>да</v>
      </c>
      <c r="H143" s="5" t="str">
        <f>""</f>
        <v/>
      </c>
      <c r="I143" s="5" t="str">
        <f>"15,00"</f>
        <v>15,00</v>
      </c>
      <c r="J143" s="5" t="str">
        <f>"2033"</f>
        <v>2033</v>
      </c>
      <c r="K143" s="5" t="str">
        <f>"да"</f>
        <v>да</v>
      </c>
      <c r="L143" s="5" t="str">
        <f>""</f>
        <v/>
      </c>
      <c r="M143" s="5" t="str">
        <f>"15,00"</f>
        <v>15,00</v>
      </c>
      <c r="N143" s="5" t="str">
        <f>"2033"</f>
        <v>2033</v>
      </c>
      <c r="O143" s="8" t="str">
        <f>"1987"</f>
        <v>1987</v>
      </c>
      <c r="P143" s="5" t="str">
        <f>"51,00"</f>
        <v>51,00</v>
      </c>
      <c r="Q143" s="5" t="str">
        <f>"2017"</f>
        <v>2017</v>
      </c>
      <c r="R143" s="5" t="str">
        <f t="shared" si="211"/>
        <v>нет</v>
      </c>
      <c r="S143" s="5" t="str">
        <f t="shared" si="216"/>
        <v>х</v>
      </c>
      <c r="T143" s="5" t="str">
        <f t="shared" si="216"/>
        <v>х</v>
      </c>
      <c r="U143" s="5" t="str">
        <f t="shared" si="216"/>
        <v>х</v>
      </c>
      <c r="V143" s="5" t="str">
        <f t="shared" si="212"/>
        <v>нет</v>
      </c>
      <c r="W143" s="5" t="str">
        <f t="shared" si="217"/>
        <v>х</v>
      </c>
      <c r="X143" s="5" t="str">
        <f t="shared" si="217"/>
        <v>х</v>
      </c>
      <c r="Y143" s="9" t="str">
        <f t="shared" si="217"/>
        <v>х</v>
      </c>
      <c r="Z143" s="5" t="str">
        <f>"1987"</f>
        <v>1987</v>
      </c>
      <c r="AA143" s="5" t="str">
        <f>"10,00"</f>
        <v>10,00</v>
      </c>
      <c r="AB143" s="5" t="str">
        <f>"2020"</f>
        <v>2020</v>
      </c>
      <c r="AC143" s="5" t="str">
        <f t="shared" si="205"/>
        <v>нет</v>
      </c>
      <c r="AD143" s="5" t="str">
        <f>""</f>
        <v/>
      </c>
      <c r="AE143" s="5" t="str">
        <f>""</f>
        <v/>
      </c>
      <c r="AF143" s="5" t="str">
        <f>""</f>
        <v/>
      </c>
      <c r="AG143" s="5" t="str">
        <f t="shared" si="206"/>
        <v>нет</v>
      </c>
      <c r="AH143" s="5" t="str">
        <f>""</f>
        <v/>
      </c>
      <c r="AI143" s="5" t="str">
        <f>""</f>
        <v/>
      </c>
      <c r="AJ143" s="5" t="str">
        <f>""</f>
        <v/>
      </c>
      <c r="AK143" s="8" t="str">
        <f>"1987"</f>
        <v>1987</v>
      </c>
      <c r="AL143" s="5" t="str">
        <f>"20,00"</f>
        <v>20,00</v>
      </c>
      <c r="AM143" s="5" t="str">
        <f>"2020"</f>
        <v>2020</v>
      </c>
      <c r="AN143" s="5" t="str">
        <f t="shared" si="207"/>
        <v>нет</v>
      </c>
      <c r="AO143" s="5" t="str">
        <f t="shared" si="218"/>
        <v>х</v>
      </c>
      <c r="AP143" s="5" t="str">
        <f t="shared" si="218"/>
        <v>х</v>
      </c>
      <c r="AQ143" s="5" t="str">
        <f t="shared" si="218"/>
        <v>х</v>
      </c>
      <c r="AR143" s="5" t="str">
        <f t="shared" si="208"/>
        <v>нет</v>
      </c>
      <c r="AS143" s="5" t="str">
        <f t="shared" si="222"/>
        <v>х</v>
      </c>
      <c r="AT143" s="5" t="str">
        <f t="shared" si="222"/>
        <v>х</v>
      </c>
      <c r="AU143" s="5" t="str">
        <f t="shared" si="222"/>
        <v>х</v>
      </c>
      <c r="AV143" s="5" t="str">
        <f>"1987"</f>
        <v>1987</v>
      </c>
      <c r="AW143" s="5" t="str">
        <f>"20,00"</f>
        <v>20,00</v>
      </c>
      <c r="AX143" s="5" t="str">
        <f>"2020"</f>
        <v>2020</v>
      </c>
      <c r="AY143" s="5" t="str">
        <f>"нет"</f>
        <v>нет</v>
      </c>
      <c r="AZ143" s="5" t="str">
        <f t="shared" si="214"/>
        <v>х</v>
      </c>
      <c r="BA143" s="5" t="str">
        <f t="shared" si="214"/>
        <v>х</v>
      </c>
      <c r="BB143" s="5" t="str">
        <f t="shared" si="214"/>
        <v>х</v>
      </c>
      <c r="BC143" s="5" t="str">
        <f>"нет"</f>
        <v>нет</v>
      </c>
      <c r="BD143" s="5" t="str">
        <f t="shared" si="215"/>
        <v>х</v>
      </c>
      <c r="BE143" s="5" t="str">
        <f t="shared" si="215"/>
        <v>х</v>
      </c>
      <c r="BF143" s="5" t="str">
        <f t="shared" si="215"/>
        <v>х</v>
      </c>
      <c r="BG143" s="5" t="str">
        <f>"1987"</f>
        <v>1987</v>
      </c>
      <c r="BH143" s="5" t="str">
        <f>"20,00"</f>
        <v>20,00</v>
      </c>
      <c r="BI143" s="5" t="str">
        <f>"2020"</f>
        <v>2020</v>
      </c>
      <c r="BJ143" s="5" t="str">
        <f t="shared" si="209"/>
        <v>нет</v>
      </c>
      <c r="BK143" s="5" t="str">
        <f t="shared" si="219"/>
        <v>х</v>
      </c>
      <c r="BL143" s="5" t="str">
        <f t="shared" si="219"/>
        <v>х</v>
      </c>
      <c r="BM143" s="5" t="str">
        <f t="shared" si="219"/>
        <v>х</v>
      </c>
      <c r="BN143" s="5" t="str">
        <f t="shared" si="210"/>
        <v>нет</v>
      </c>
      <c r="BO143" s="5" t="str">
        <f t="shared" si="220"/>
        <v>х</v>
      </c>
      <c r="BP143" s="5" t="str">
        <f t="shared" si="220"/>
        <v>х</v>
      </c>
      <c r="BQ143" s="5" t="str">
        <f t="shared" si="220"/>
        <v>х</v>
      </c>
      <c r="BR143" s="5" t="str">
        <f>"1987"</f>
        <v>1987</v>
      </c>
      <c r="BS143" s="5" t="str">
        <f>"20,00"</f>
        <v>20,00</v>
      </c>
      <c r="BT143" s="5" t="str">
        <f>"2020"</f>
        <v>2020</v>
      </c>
      <c r="BU143" s="5" t="str">
        <f t="shared" si="223"/>
        <v>нет</v>
      </c>
      <c r="BV143" s="5" t="str">
        <f t="shared" si="202"/>
        <v>x</v>
      </c>
      <c r="BW143" s="5" t="str">
        <f t="shared" si="202"/>
        <v>x</v>
      </c>
      <c r="BX143" s="5" t="str">
        <f t="shared" si="202"/>
        <v>x</v>
      </c>
      <c r="BY143" s="5" t="str">
        <f t="shared" si="221"/>
        <v>нет</v>
      </c>
      <c r="BZ143" s="5" t="str">
        <f>"1987"</f>
        <v>1987</v>
      </c>
      <c r="CA143" s="5" t="str">
        <f>"14,00"</f>
        <v>14,00</v>
      </c>
      <c r="CB143" s="5" t="str">
        <f>"2020"</f>
        <v>2020</v>
      </c>
      <c r="CC143" s="5" t="str">
        <f>"1987"</f>
        <v>1987</v>
      </c>
      <c r="CD143" s="5" t="str">
        <f>"20,00"</f>
        <v>20,00</v>
      </c>
      <c r="CE143" s="5" t="str">
        <f>"2030"</f>
        <v>2030</v>
      </c>
      <c r="CF143" s="5" t="str">
        <f>"1987"</f>
        <v>1987</v>
      </c>
      <c r="CG143" s="5" t="str">
        <f>"20,00"</f>
        <v>20,00</v>
      </c>
      <c r="CH143" s="5" t="str">
        <f>"2031"</f>
        <v>2031</v>
      </c>
      <c r="CI143" s="5" t="str">
        <f>"15,00"</f>
        <v>15,00</v>
      </c>
      <c r="CJ143" s="5" t="str">
        <f>"2039"</f>
        <v>2039</v>
      </c>
    </row>
    <row r="144" spans="1:88" ht="11.25" customHeight="1">
      <c r="A144" s="3" t="str">
        <f>"1.131"</f>
        <v>1.131</v>
      </c>
      <c r="B144" s="4" t="str">
        <f>"г. Грязовец, ул. Ленина, д.116"</f>
        <v>г. Грязовец, ул. Ленина, д.116</v>
      </c>
      <c r="C144" s="7" t="str">
        <f>"1980"</f>
        <v>1980</v>
      </c>
      <c r="D144" s="5" t="str">
        <f>"1980"</f>
        <v>1980</v>
      </c>
      <c r="E144" s="5" t="str">
        <f>"30,00"</f>
        <v>30,00</v>
      </c>
      <c r="F144" s="5" t="str">
        <f>"2025"</f>
        <v>2025</v>
      </c>
      <c r="G144" s="5" t="str">
        <f>"да"</f>
        <v>да</v>
      </c>
      <c r="H144" s="5" t="str">
        <f>""</f>
        <v/>
      </c>
      <c r="I144" s="5" t="str">
        <f>"30,00"</f>
        <v>30,00</v>
      </c>
      <c r="J144" s="5" t="str">
        <f>"2025"</f>
        <v>2025</v>
      </c>
      <c r="K144" s="5" t="str">
        <f>"да"</f>
        <v>да</v>
      </c>
      <c r="L144" s="5" t="str">
        <f>""</f>
        <v/>
      </c>
      <c r="M144" s="5" t="str">
        <f>"30,00"</f>
        <v>30,00</v>
      </c>
      <c r="N144" s="5" t="str">
        <f>"2026"</f>
        <v>2026</v>
      </c>
      <c r="O144" s="8" t="str">
        <f>"1980"</f>
        <v>1980</v>
      </c>
      <c r="P144" s="5" t="str">
        <f>"49,00"</f>
        <v>49,00</v>
      </c>
      <c r="Q144" s="5" t="str">
        <f>"2017"</f>
        <v>2017</v>
      </c>
      <c r="R144" s="5" t="str">
        <f t="shared" si="211"/>
        <v>нет</v>
      </c>
      <c r="S144" s="5" t="str">
        <f t="shared" si="216"/>
        <v>х</v>
      </c>
      <c r="T144" s="5" t="str">
        <f t="shared" si="216"/>
        <v>х</v>
      </c>
      <c r="U144" s="5" t="str">
        <f t="shared" si="216"/>
        <v>х</v>
      </c>
      <c r="V144" s="5" t="str">
        <f t="shared" si="212"/>
        <v>нет</v>
      </c>
      <c r="W144" s="5" t="str">
        <f t="shared" si="217"/>
        <v>х</v>
      </c>
      <c r="X144" s="5" t="str">
        <f t="shared" si="217"/>
        <v>х</v>
      </c>
      <c r="Y144" s="9" t="str">
        <f t="shared" si="217"/>
        <v>х</v>
      </c>
      <c r="Z144" s="5" t="str">
        <f>"1980"</f>
        <v>1980</v>
      </c>
      <c r="AA144" s="5" t="str">
        <f>"22,00"</f>
        <v>22,00</v>
      </c>
      <c r="AB144" s="5" t="str">
        <f>"2022"</f>
        <v>2022</v>
      </c>
      <c r="AC144" s="5" t="str">
        <f t="shared" si="205"/>
        <v>нет</v>
      </c>
      <c r="AD144" s="5" t="str">
        <f>""</f>
        <v/>
      </c>
      <c r="AE144" s="5" t="str">
        <f>""</f>
        <v/>
      </c>
      <c r="AF144" s="5" t="str">
        <f>""</f>
        <v/>
      </c>
      <c r="AG144" s="5" t="str">
        <f t="shared" si="206"/>
        <v>нет</v>
      </c>
      <c r="AH144" s="5" t="str">
        <f>""</f>
        <v/>
      </c>
      <c r="AI144" s="5" t="str">
        <f>""</f>
        <v/>
      </c>
      <c r="AJ144" s="5" t="str">
        <f>""</f>
        <v/>
      </c>
      <c r="AK144" s="8" t="str">
        <f>"1980"</f>
        <v>1980</v>
      </c>
      <c r="AL144" s="5" t="str">
        <f>"30,00"</f>
        <v>30,00</v>
      </c>
      <c r="AM144" s="5" t="str">
        <f>"2023"</f>
        <v>2023</v>
      </c>
      <c r="AN144" s="5" t="str">
        <f t="shared" si="207"/>
        <v>нет</v>
      </c>
      <c r="AO144" s="5" t="str">
        <f t="shared" si="218"/>
        <v>х</v>
      </c>
      <c r="AP144" s="5" t="str">
        <f t="shared" si="218"/>
        <v>х</v>
      </c>
      <c r="AQ144" s="5" t="str">
        <f t="shared" si="218"/>
        <v>х</v>
      </c>
      <c r="AR144" s="5" t="str">
        <f t="shared" si="208"/>
        <v>нет</v>
      </c>
      <c r="AS144" s="5" t="str">
        <f t="shared" si="222"/>
        <v>х</v>
      </c>
      <c r="AT144" s="5" t="str">
        <f t="shared" si="222"/>
        <v>х</v>
      </c>
      <c r="AU144" s="5" t="str">
        <f t="shared" si="222"/>
        <v>х</v>
      </c>
      <c r="AV144" s="5" t="str">
        <f>"х"</f>
        <v>х</v>
      </c>
      <c r="AW144" s="5" t="str">
        <f>"30,00"</f>
        <v>30,00</v>
      </c>
      <c r="AX144" s="5" t="str">
        <f>"2025"</f>
        <v>2025</v>
      </c>
      <c r="AY144" s="5" t="str">
        <f>"нет"</f>
        <v>нет</v>
      </c>
      <c r="AZ144" s="5" t="str">
        <f t="shared" si="214"/>
        <v>х</v>
      </c>
      <c r="BA144" s="5" t="str">
        <f t="shared" si="214"/>
        <v>х</v>
      </c>
      <c r="BB144" s="5" t="str">
        <f t="shared" si="214"/>
        <v>х</v>
      </c>
      <c r="BC144" s="5" t="str">
        <f>"нет"</f>
        <v>нет</v>
      </c>
      <c r="BD144" s="5" t="str">
        <f t="shared" si="215"/>
        <v>х</v>
      </c>
      <c r="BE144" s="5" t="str">
        <f t="shared" si="215"/>
        <v>х</v>
      </c>
      <c r="BF144" s="5" t="str">
        <f t="shared" si="215"/>
        <v>х</v>
      </c>
      <c r="BG144" s="5" t="str">
        <f>"1980"</f>
        <v>1980</v>
      </c>
      <c r="BH144" s="5" t="str">
        <f>"30,00"</f>
        <v>30,00</v>
      </c>
      <c r="BI144" s="5" t="str">
        <f>"2023"</f>
        <v>2023</v>
      </c>
      <c r="BJ144" s="5" t="str">
        <f t="shared" si="209"/>
        <v>нет</v>
      </c>
      <c r="BK144" s="5" t="str">
        <f t="shared" si="219"/>
        <v>х</v>
      </c>
      <c r="BL144" s="5" t="str">
        <f t="shared" si="219"/>
        <v>х</v>
      </c>
      <c r="BM144" s="5" t="str">
        <f t="shared" si="219"/>
        <v>х</v>
      </c>
      <c r="BN144" s="5" t="str">
        <f t="shared" si="210"/>
        <v>нет</v>
      </c>
      <c r="BO144" s="5" t="str">
        <f t="shared" si="220"/>
        <v>х</v>
      </c>
      <c r="BP144" s="5" t="str">
        <f t="shared" si="220"/>
        <v>х</v>
      </c>
      <c r="BQ144" s="5" t="str">
        <f t="shared" si="220"/>
        <v>х</v>
      </c>
      <c r="BR144" s="5" t="str">
        <f>"1980"</f>
        <v>1980</v>
      </c>
      <c r="BS144" s="5" t="str">
        <f>"51,00"</f>
        <v>51,00</v>
      </c>
      <c r="BT144" s="5" t="str">
        <f>"2017"</f>
        <v>2017</v>
      </c>
      <c r="BU144" s="5" t="str">
        <f t="shared" si="223"/>
        <v>нет</v>
      </c>
      <c r="BV144" s="5" t="str">
        <f t="shared" si="202"/>
        <v>x</v>
      </c>
      <c r="BW144" s="5" t="str">
        <f t="shared" si="202"/>
        <v>x</v>
      </c>
      <c r="BX144" s="5" t="str">
        <f t="shared" si="202"/>
        <v>x</v>
      </c>
      <c r="BY144" s="5" t="str">
        <f t="shared" si="221"/>
        <v>нет</v>
      </c>
      <c r="BZ144" s="5" t="str">
        <f t="shared" ref="BZ144:CB145" si="224">"x"</f>
        <v>x</v>
      </c>
      <c r="CA144" s="5" t="str">
        <f t="shared" si="224"/>
        <v>x</v>
      </c>
      <c r="CB144" s="5" t="str">
        <f t="shared" si="224"/>
        <v>x</v>
      </c>
      <c r="CC144" s="5" t="str">
        <f>"1980"</f>
        <v>1980</v>
      </c>
      <c r="CD144" s="5" t="str">
        <f>"40,00"</f>
        <v>40,00</v>
      </c>
      <c r="CE144" s="5" t="str">
        <f>"2020"</f>
        <v>2020</v>
      </c>
      <c r="CF144" s="5" t="str">
        <f>"1980"</f>
        <v>1980</v>
      </c>
      <c r="CG144" s="5" t="str">
        <f>"35,00"</f>
        <v>35,00</v>
      </c>
      <c r="CH144" s="5" t="str">
        <f>"2022"</f>
        <v>2022</v>
      </c>
      <c r="CI144" s="5" t="str">
        <f>"24,00"</f>
        <v>24,00</v>
      </c>
      <c r="CJ144" s="5" t="str">
        <f>"2019"</f>
        <v>2019</v>
      </c>
    </row>
    <row r="145" spans="1:88" ht="11.25" customHeight="1">
      <c r="A145" s="3" t="str">
        <f>"1.132"</f>
        <v>1.132</v>
      </c>
      <c r="B145" s="4" t="str">
        <f>"г. Грязовец, ул. Ленина, д.16"</f>
        <v>г. Грязовец, ул. Ленина, д.16</v>
      </c>
      <c r="C145" s="7" t="str">
        <f>"1917"</f>
        <v>1917</v>
      </c>
      <c r="D145" s="5" t="str">
        <f>""</f>
        <v/>
      </c>
      <c r="E145" s="5" t="str">
        <f>"45,00"</f>
        <v>45,00</v>
      </c>
      <c r="F145" s="5" t="str">
        <f>"2022"</f>
        <v>2022</v>
      </c>
      <c r="G145" s="5" t="str">
        <f>"нет"</f>
        <v>нет</v>
      </c>
      <c r="H145" s="5" t="str">
        <f>""</f>
        <v/>
      </c>
      <c r="I145" s="5" t="str">
        <f>""</f>
        <v/>
      </c>
      <c r="J145" s="5" t="str">
        <f>""</f>
        <v/>
      </c>
      <c r="K145" s="5" t="str">
        <f>"нет"</f>
        <v>нет</v>
      </c>
      <c r="L145" s="5" t="str">
        <f>""</f>
        <v/>
      </c>
      <c r="M145" s="5" t="str">
        <f>""</f>
        <v/>
      </c>
      <c r="N145" s="5" t="str">
        <f>""</f>
        <v/>
      </c>
      <c r="O145" s="8" t="str">
        <f>""</f>
        <v/>
      </c>
      <c r="P145" s="5" t="str">
        <f>""</f>
        <v/>
      </c>
      <c r="Q145" s="5" t="str">
        <f>""</f>
        <v/>
      </c>
      <c r="R145" s="5" t="str">
        <f>""</f>
        <v/>
      </c>
      <c r="S145" s="5" t="str">
        <f>""</f>
        <v/>
      </c>
      <c r="T145" s="5" t="str">
        <f>""</f>
        <v/>
      </c>
      <c r="U145" s="5" t="str">
        <f>""</f>
        <v/>
      </c>
      <c r="V145" s="5" t="str">
        <f>""</f>
        <v/>
      </c>
      <c r="W145" s="5" t="str">
        <f>""</f>
        <v/>
      </c>
      <c r="X145" s="5" t="str">
        <f>""</f>
        <v/>
      </c>
      <c r="Y145" s="9" t="str">
        <f>""</f>
        <v/>
      </c>
      <c r="Z145" s="5" t="str">
        <f t="shared" ref="Z145:AN145" si="225">"х"</f>
        <v>х</v>
      </c>
      <c r="AA145" s="5" t="str">
        <f t="shared" si="225"/>
        <v>х</v>
      </c>
      <c r="AB145" s="5" t="str">
        <f t="shared" si="225"/>
        <v>х</v>
      </c>
      <c r="AC145" s="5" t="str">
        <f t="shared" si="225"/>
        <v>х</v>
      </c>
      <c r="AD145" s="5" t="str">
        <f t="shared" si="225"/>
        <v>х</v>
      </c>
      <c r="AE145" s="5" t="str">
        <f t="shared" si="225"/>
        <v>х</v>
      </c>
      <c r="AF145" s="5" t="str">
        <f t="shared" si="225"/>
        <v>х</v>
      </c>
      <c r="AG145" s="5" t="str">
        <f t="shared" si="225"/>
        <v>х</v>
      </c>
      <c r="AH145" s="5" t="str">
        <f t="shared" si="225"/>
        <v>х</v>
      </c>
      <c r="AI145" s="5" t="str">
        <f t="shared" si="225"/>
        <v>х</v>
      </c>
      <c r="AJ145" s="5" t="str">
        <f t="shared" si="225"/>
        <v>х</v>
      </c>
      <c r="AK145" s="8" t="str">
        <f t="shared" si="225"/>
        <v>х</v>
      </c>
      <c r="AL145" s="5" t="str">
        <f t="shared" si="225"/>
        <v>х</v>
      </c>
      <c r="AM145" s="5" t="str">
        <f t="shared" si="225"/>
        <v>х</v>
      </c>
      <c r="AN145" s="5" t="str">
        <f t="shared" si="225"/>
        <v>х</v>
      </c>
      <c r="AO145" s="5" t="str">
        <f t="shared" si="218"/>
        <v>х</v>
      </c>
      <c r="AP145" s="5" t="str">
        <f t="shared" si="218"/>
        <v>х</v>
      </c>
      <c r="AQ145" s="5" t="str">
        <f t="shared" si="218"/>
        <v>х</v>
      </c>
      <c r="AR145" s="5" t="str">
        <f>"х"</f>
        <v>х</v>
      </c>
      <c r="AS145" s="5" t="str">
        <f t="shared" si="222"/>
        <v>х</v>
      </c>
      <c r="AT145" s="5" t="str">
        <f t="shared" si="222"/>
        <v>х</v>
      </c>
      <c r="AU145" s="5" t="str">
        <f t="shared" si="222"/>
        <v>х</v>
      </c>
      <c r="AV145" s="5" t="str">
        <f>"х"</f>
        <v>х</v>
      </c>
      <c r="AW145" s="5" t="str">
        <f>"х"</f>
        <v>х</v>
      </c>
      <c r="AX145" s="5" t="str">
        <f>"х"</f>
        <v>х</v>
      </c>
      <c r="AY145" s="5" t="str">
        <f>"х"</f>
        <v>х</v>
      </c>
      <c r="AZ145" s="5" t="str">
        <f t="shared" si="214"/>
        <v>х</v>
      </c>
      <c r="BA145" s="5" t="str">
        <f t="shared" si="214"/>
        <v>х</v>
      </c>
      <c r="BB145" s="5" t="str">
        <f t="shared" si="214"/>
        <v>х</v>
      </c>
      <c r="BC145" s="5" t="str">
        <f>"х"</f>
        <v>х</v>
      </c>
      <c r="BD145" s="5" t="str">
        <f t="shared" si="215"/>
        <v>х</v>
      </c>
      <c r="BE145" s="5" t="str">
        <f t="shared" si="215"/>
        <v>х</v>
      </c>
      <c r="BF145" s="5" t="str">
        <f t="shared" si="215"/>
        <v>х</v>
      </c>
      <c r="BG145" s="5" t="str">
        <f>"х"</f>
        <v>х</v>
      </c>
      <c r="BH145" s="5" t="str">
        <f>"х"</f>
        <v>х</v>
      </c>
      <c r="BI145" s="5" t="str">
        <f>"х"</f>
        <v>х</v>
      </c>
      <c r="BJ145" s="5" t="str">
        <f>"х"</f>
        <v>х</v>
      </c>
      <c r="BK145" s="5" t="str">
        <f t="shared" si="219"/>
        <v>х</v>
      </c>
      <c r="BL145" s="5" t="str">
        <f t="shared" si="219"/>
        <v>х</v>
      </c>
      <c r="BM145" s="5" t="str">
        <f t="shared" si="219"/>
        <v>х</v>
      </c>
      <c r="BN145" s="5" t="str">
        <f>"х"</f>
        <v>х</v>
      </c>
      <c r="BO145" s="5" t="str">
        <f t="shared" si="220"/>
        <v>х</v>
      </c>
      <c r="BP145" s="5" t="str">
        <f t="shared" si="220"/>
        <v>х</v>
      </c>
      <c r="BQ145" s="5" t="str">
        <f t="shared" si="220"/>
        <v>х</v>
      </c>
      <c r="BR145" s="5" t="str">
        <f>""</f>
        <v/>
      </c>
      <c r="BS145" s="5" t="str">
        <f>"45,00"</f>
        <v>45,00</v>
      </c>
      <c r="BT145" s="5" t="str">
        <f>"2022"</f>
        <v>2022</v>
      </c>
      <c r="BU145" s="5" t="str">
        <f t="shared" si="223"/>
        <v>нет</v>
      </c>
      <c r="BV145" s="5" t="str">
        <f t="shared" si="202"/>
        <v>x</v>
      </c>
      <c r="BW145" s="5" t="str">
        <f t="shared" si="202"/>
        <v>x</v>
      </c>
      <c r="BX145" s="5" t="str">
        <f t="shared" si="202"/>
        <v>x</v>
      </c>
      <c r="BY145" s="5" t="str">
        <f t="shared" si="221"/>
        <v>нет</v>
      </c>
      <c r="BZ145" s="5" t="str">
        <f t="shared" si="224"/>
        <v>x</v>
      </c>
      <c r="CA145" s="5" t="str">
        <f t="shared" si="224"/>
        <v>x</v>
      </c>
      <c r="CB145" s="5" t="str">
        <f t="shared" si="224"/>
        <v>x</v>
      </c>
      <c r="CC145" s="5" t="str">
        <f>""</f>
        <v/>
      </c>
      <c r="CD145" s="5" t="str">
        <f>"35,00"</f>
        <v>35,00</v>
      </c>
      <c r="CE145" s="5" t="str">
        <f>"2025"</f>
        <v>2025</v>
      </c>
      <c r="CF145" s="5" t="str">
        <f>""</f>
        <v/>
      </c>
      <c r="CG145" s="5" t="str">
        <f>"30,00"</f>
        <v>30,00</v>
      </c>
      <c r="CH145" s="5" t="str">
        <f>"2026"</f>
        <v>2026</v>
      </c>
      <c r="CI145" s="5" t="str">
        <f>"45,00"</f>
        <v>45,00</v>
      </c>
      <c r="CJ145" s="5" t="str">
        <f>"2041"</f>
        <v>2041</v>
      </c>
    </row>
    <row r="146" spans="1:88" ht="11.25" customHeight="1">
      <c r="A146" s="3" t="str">
        <f>"1.133"</f>
        <v>1.133</v>
      </c>
      <c r="B146" s="4" t="str">
        <f>"г. Грязовец, ул. Ленина, д.168"</f>
        <v>г. Грязовец, ул. Ленина, д.168</v>
      </c>
      <c r="C146" s="7" t="str">
        <f>"1963"</f>
        <v>1963</v>
      </c>
      <c r="D146" s="5" t="str">
        <f>"1963"</f>
        <v>1963</v>
      </c>
      <c r="E146" s="5" t="str">
        <f>"37,00"</f>
        <v>37,00</v>
      </c>
      <c r="F146" s="5" t="str">
        <f>"2024"</f>
        <v>2024</v>
      </c>
      <c r="G146" s="5" t="str">
        <f>"да"</f>
        <v>да</v>
      </c>
      <c r="H146" s="5" t="str">
        <f>""</f>
        <v/>
      </c>
      <c r="I146" s="5" t="str">
        <f>"30,00"</f>
        <v>30,00</v>
      </c>
      <c r="J146" s="5" t="str">
        <f>"2024"</f>
        <v>2024</v>
      </c>
      <c r="K146" s="5" t="str">
        <f>"да"</f>
        <v>да</v>
      </c>
      <c r="L146" s="5" t="str">
        <f>""</f>
        <v/>
      </c>
      <c r="M146" s="5" t="str">
        <f>"30,00"</f>
        <v>30,00</v>
      </c>
      <c r="N146" s="5" t="str">
        <f>"2024"</f>
        <v>2024</v>
      </c>
      <c r="O146" s="8" t="str">
        <f>"1963"</f>
        <v>1963</v>
      </c>
      <c r="P146" s="5" t="str">
        <f>"37,00"</f>
        <v>37,00</v>
      </c>
      <c r="Q146" s="5" t="str">
        <f>"2024"</f>
        <v>2024</v>
      </c>
      <c r="R146" s="5" t="str">
        <f>"нет"</f>
        <v>нет</v>
      </c>
      <c r="S146" s="5" t="str">
        <f>"х"</f>
        <v>х</v>
      </c>
      <c r="T146" s="5" t="str">
        <f>"х"</f>
        <v>х</v>
      </c>
      <c r="U146" s="5" t="str">
        <f>"х"</f>
        <v>х</v>
      </c>
      <c r="V146" s="5" t="str">
        <f>"нет"</f>
        <v>нет</v>
      </c>
      <c r="W146" s="5" t="str">
        <f>"х"</f>
        <v>х</v>
      </c>
      <c r="X146" s="5" t="str">
        <f>"х"</f>
        <v>х</v>
      </c>
      <c r="Y146" s="9" t="str">
        <f>"х"</f>
        <v>х</v>
      </c>
      <c r="Z146" s="5" t="str">
        <f>"1963"</f>
        <v>1963</v>
      </c>
      <c r="AA146" s="5" t="str">
        <f>"37,00"</f>
        <v>37,00</v>
      </c>
      <c r="AB146" s="5" t="str">
        <f>"2023"</f>
        <v>2023</v>
      </c>
      <c r="AC146" s="5" t="str">
        <f>"нет"</f>
        <v>нет</v>
      </c>
      <c r="AD146" s="5" t="str">
        <f>""</f>
        <v/>
      </c>
      <c r="AE146" s="5" t="str">
        <f>""</f>
        <v/>
      </c>
      <c r="AF146" s="5" t="str">
        <f>""</f>
        <v/>
      </c>
      <c r="AG146" s="5" t="str">
        <f>"нет"</f>
        <v>нет</v>
      </c>
      <c r="AH146" s="5" t="str">
        <f>""</f>
        <v/>
      </c>
      <c r="AI146" s="5" t="str">
        <f>""</f>
        <v/>
      </c>
      <c r="AJ146" s="5" t="str">
        <f>""</f>
        <v/>
      </c>
      <c r="AK146" s="8" t="str">
        <f>"1963"</f>
        <v>1963</v>
      </c>
      <c r="AL146" s="5" t="str">
        <f>"37,00"</f>
        <v>37,00</v>
      </c>
      <c r="AM146" s="5" t="str">
        <f>"2022"</f>
        <v>2022</v>
      </c>
      <c r="AN146" s="5" t="str">
        <f>"нет"</f>
        <v>нет</v>
      </c>
      <c r="AO146" s="5" t="str">
        <f t="shared" si="218"/>
        <v>х</v>
      </c>
      <c r="AP146" s="5" t="str">
        <f t="shared" si="218"/>
        <v>х</v>
      </c>
      <c r="AQ146" s="5" t="str">
        <f t="shared" si="218"/>
        <v>х</v>
      </c>
      <c r="AR146" s="5" t="str">
        <f>"нет"</f>
        <v>нет</v>
      </c>
      <c r="AS146" s="5" t="str">
        <f t="shared" si="222"/>
        <v>х</v>
      </c>
      <c r="AT146" s="5" t="str">
        <f t="shared" si="222"/>
        <v>х</v>
      </c>
      <c r="AU146" s="5" t="str">
        <f t="shared" si="222"/>
        <v>х</v>
      </c>
      <c r="AV146" s="5" t="str">
        <f>"1963"</f>
        <v>1963</v>
      </c>
      <c r="AW146" s="5" t="str">
        <f>"37,00"</f>
        <v>37,00</v>
      </c>
      <c r="AX146" s="5" t="str">
        <f>"2021"</f>
        <v>2021</v>
      </c>
      <c r="AY146" s="5" t="str">
        <f>"нет"</f>
        <v>нет</v>
      </c>
      <c r="AZ146" s="5" t="str">
        <f t="shared" si="214"/>
        <v>х</v>
      </c>
      <c r="BA146" s="5" t="str">
        <f t="shared" si="214"/>
        <v>х</v>
      </c>
      <c r="BB146" s="5" t="str">
        <f t="shared" si="214"/>
        <v>х</v>
      </c>
      <c r="BC146" s="5" t="str">
        <f>"нет"</f>
        <v>нет</v>
      </c>
      <c r="BD146" s="5" t="str">
        <f t="shared" si="215"/>
        <v>х</v>
      </c>
      <c r="BE146" s="5" t="str">
        <f t="shared" si="215"/>
        <v>х</v>
      </c>
      <c r="BF146" s="5" t="str">
        <f t="shared" si="215"/>
        <v>х</v>
      </c>
      <c r="BG146" s="5" t="str">
        <f>"1963"</f>
        <v>1963</v>
      </c>
      <c r="BH146" s="5" t="str">
        <f>"37,00"</f>
        <v>37,00</v>
      </c>
      <c r="BI146" s="5" t="str">
        <f>"2022"</f>
        <v>2022</v>
      </c>
      <c r="BJ146" s="5" t="str">
        <f>"нет"</f>
        <v>нет</v>
      </c>
      <c r="BK146" s="5" t="str">
        <f t="shared" si="219"/>
        <v>х</v>
      </c>
      <c r="BL146" s="5" t="str">
        <f t="shared" si="219"/>
        <v>х</v>
      </c>
      <c r="BM146" s="5" t="str">
        <f t="shared" si="219"/>
        <v>х</v>
      </c>
      <c r="BN146" s="5" t="str">
        <f>"нет"</f>
        <v>нет</v>
      </c>
      <c r="BO146" s="5" t="str">
        <f t="shared" si="220"/>
        <v>х</v>
      </c>
      <c r="BP146" s="5" t="str">
        <f t="shared" si="220"/>
        <v>х</v>
      </c>
      <c r="BQ146" s="5" t="str">
        <f t="shared" si="220"/>
        <v>х</v>
      </c>
      <c r="BR146" s="5" t="str">
        <f>"1963"</f>
        <v>1963</v>
      </c>
      <c r="BS146" s="5" t="str">
        <f>"37,00"</f>
        <v>37,00</v>
      </c>
      <c r="BT146" s="5" t="str">
        <f>"2023"</f>
        <v>2023</v>
      </c>
      <c r="BU146" s="5" t="str">
        <f t="shared" si="223"/>
        <v>нет</v>
      </c>
      <c r="BV146" s="5" t="str">
        <f t="shared" si="202"/>
        <v>x</v>
      </c>
      <c r="BW146" s="5" t="str">
        <f t="shared" si="202"/>
        <v>x</v>
      </c>
      <c r="BX146" s="5" t="str">
        <f t="shared" si="202"/>
        <v>x</v>
      </c>
      <c r="BY146" s="5" t="str">
        <f t="shared" si="221"/>
        <v>нет</v>
      </c>
      <c r="BZ146" s="5" t="str">
        <f>"1963"</f>
        <v>1963</v>
      </c>
      <c r="CA146" s="5" t="str">
        <f>"37,00"</f>
        <v>37,00</v>
      </c>
      <c r="CB146" s="5" t="str">
        <f>"2022"</f>
        <v>2022</v>
      </c>
      <c r="CC146" s="5" t="str">
        <f>"1963"</f>
        <v>1963</v>
      </c>
      <c r="CD146" s="5" t="str">
        <f>"37,00"</f>
        <v>37,00</v>
      </c>
      <c r="CE146" s="5" t="str">
        <f>"2023"</f>
        <v>2023</v>
      </c>
      <c r="CF146" s="5" t="str">
        <f>"1963"</f>
        <v>1963</v>
      </c>
      <c r="CG146" s="5" t="str">
        <f>"37,00"</f>
        <v>37,00</v>
      </c>
      <c r="CH146" s="5" t="str">
        <f>"2021"</f>
        <v>2021</v>
      </c>
      <c r="CI146" s="5" t="str">
        <f>"37,00"</f>
        <v>37,00</v>
      </c>
      <c r="CJ146" s="5" t="str">
        <f>"2024"</f>
        <v>2024</v>
      </c>
    </row>
    <row r="147" spans="1:88" ht="11.25" customHeight="1">
      <c r="A147" s="3" t="str">
        <f>"1.134"</f>
        <v>1.134</v>
      </c>
      <c r="B147" s="4" t="str">
        <f>"г. Грязовец, ул. Ленина, д.17"</f>
        <v>г. Грязовец, ул. Ленина, д.17</v>
      </c>
      <c r="C147" s="7" t="str">
        <f>"1961"</f>
        <v>1961</v>
      </c>
      <c r="D147" s="5" t="str">
        <f>""</f>
        <v/>
      </c>
      <c r="E147" s="5" t="str">
        <f>"42,00"</f>
        <v>42,00</v>
      </c>
      <c r="F147" s="5" t="str">
        <f>"2023"</f>
        <v>2023</v>
      </c>
      <c r="G147" s="5" t="str">
        <f>"нет"</f>
        <v>нет</v>
      </c>
      <c r="H147" s="5" t="str">
        <f>""</f>
        <v/>
      </c>
      <c r="I147" s="5" t="str">
        <f>""</f>
        <v/>
      </c>
      <c r="J147" s="5" t="str">
        <f>""</f>
        <v/>
      </c>
      <c r="K147" s="5" t="str">
        <f>"нет"</f>
        <v>нет</v>
      </c>
      <c r="L147" s="5" t="str">
        <f>""</f>
        <v/>
      </c>
      <c r="M147" s="5" t="str">
        <f>""</f>
        <v/>
      </c>
      <c r="N147" s="5" t="str">
        <f>""</f>
        <v/>
      </c>
      <c r="O147" s="8" t="str">
        <f>""</f>
        <v/>
      </c>
      <c r="P147" s="5" t="str">
        <f>""</f>
        <v/>
      </c>
      <c r="Q147" s="5" t="str">
        <f>""</f>
        <v/>
      </c>
      <c r="R147" s="5" t="str">
        <f>""</f>
        <v/>
      </c>
      <c r="S147" s="5" t="str">
        <f>""</f>
        <v/>
      </c>
      <c r="T147" s="5" t="str">
        <f>""</f>
        <v/>
      </c>
      <c r="U147" s="5" t="str">
        <f>""</f>
        <v/>
      </c>
      <c r="V147" s="5" t="str">
        <f>""</f>
        <v/>
      </c>
      <c r="W147" s="5" t="str">
        <f>""</f>
        <v/>
      </c>
      <c r="X147" s="5" t="str">
        <f>""</f>
        <v/>
      </c>
      <c r="Y147" s="9" t="str">
        <f>""</f>
        <v/>
      </c>
      <c r="Z147" s="5" t="str">
        <f t="shared" ref="Z147:AN147" si="226">"х"</f>
        <v>х</v>
      </c>
      <c r="AA147" s="5" t="str">
        <f t="shared" si="226"/>
        <v>х</v>
      </c>
      <c r="AB147" s="5" t="str">
        <f t="shared" si="226"/>
        <v>х</v>
      </c>
      <c r="AC147" s="5" t="str">
        <f t="shared" si="226"/>
        <v>х</v>
      </c>
      <c r="AD147" s="5" t="str">
        <f t="shared" si="226"/>
        <v>х</v>
      </c>
      <c r="AE147" s="5" t="str">
        <f t="shared" si="226"/>
        <v>х</v>
      </c>
      <c r="AF147" s="5" t="str">
        <f t="shared" si="226"/>
        <v>х</v>
      </c>
      <c r="AG147" s="5" t="str">
        <f t="shared" si="226"/>
        <v>х</v>
      </c>
      <c r="AH147" s="5" t="str">
        <f t="shared" si="226"/>
        <v>х</v>
      </c>
      <c r="AI147" s="5" t="str">
        <f t="shared" si="226"/>
        <v>х</v>
      </c>
      <c r="AJ147" s="5" t="str">
        <f t="shared" si="226"/>
        <v>х</v>
      </c>
      <c r="AK147" s="8" t="str">
        <f t="shared" si="226"/>
        <v>х</v>
      </c>
      <c r="AL147" s="5" t="str">
        <f t="shared" si="226"/>
        <v>х</v>
      </c>
      <c r="AM147" s="5" t="str">
        <f t="shared" si="226"/>
        <v>х</v>
      </c>
      <c r="AN147" s="5" t="str">
        <f t="shared" si="226"/>
        <v>х</v>
      </c>
      <c r="AO147" s="5" t="str">
        <f t="shared" si="218"/>
        <v>х</v>
      </c>
      <c r="AP147" s="5" t="str">
        <f t="shared" si="218"/>
        <v>х</v>
      </c>
      <c r="AQ147" s="5" t="str">
        <f t="shared" si="218"/>
        <v>х</v>
      </c>
      <c r="AR147" s="5" t="str">
        <f>"х"</f>
        <v>х</v>
      </c>
      <c r="AS147" s="5" t="str">
        <f t="shared" si="222"/>
        <v>х</v>
      </c>
      <c r="AT147" s="5" t="str">
        <f t="shared" si="222"/>
        <v>х</v>
      </c>
      <c r="AU147" s="5" t="str">
        <f t="shared" si="222"/>
        <v>х</v>
      </c>
      <c r="AV147" s="5" t="str">
        <f>"х"</f>
        <v>х</v>
      </c>
      <c r="AW147" s="5" t="str">
        <f>"х"</f>
        <v>х</v>
      </c>
      <c r="AX147" s="5" t="str">
        <f>"х"</f>
        <v>х</v>
      </c>
      <c r="AY147" s="5" t="str">
        <f>"х"</f>
        <v>х</v>
      </c>
      <c r="AZ147" s="5" t="str">
        <f t="shared" si="214"/>
        <v>х</v>
      </c>
      <c r="BA147" s="5" t="str">
        <f t="shared" si="214"/>
        <v>х</v>
      </c>
      <c r="BB147" s="5" t="str">
        <f t="shared" si="214"/>
        <v>х</v>
      </c>
      <c r="BC147" s="5" t="str">
        <f>"х"</f>
        <v>х</v>
      </c>
      <c r="BD147" s="5" t="str">
        <f t="shared" si="215"/>
        <v>х</v>
      </c>
      <c r="BE147" s="5" t="str">
        <f t="shared" si="215"/>
        <v>х</v>
      </c>
      <c r="BF147" s="5" t="str">
        <f t="shared" si="215"/>
        <v>х</v>
      </c>
      <c r="BG147" s="5" t="str">
        <f>"х"</f>
        <v>х</v>
      </c>
      <c r="BH147" s="5" t="str">
        <f>"х"</f>
        <v>х</v>
      </c>
      <c r="BI147" s="5" t="str">
        <f>"х"</f>
        <v>х</v>
      </c>
      <c r="BJ147" s="5" t="str">
        <f>"х"</f>
        <v>х</v>
      </c>
      <c r="BK147" s="5" t="str">
        <f t="shared" si="219"/>
        <v>х</v>
      </c>
      <c r="BL147" s="5" t="str">
        <f t="shared" si="219"/>
        <v>х</v>
      </c>
      <c r="BM147" s="5" t="str">
        <f t="shared" si="219"/>
        <v>х</v>
      </c>
      <c r="BN147" s="5" t="str">
        <f>"х"</f>
        <v>х</v>
      </c>
      <c r="BO147" s="5" t="str">
        <f t="shared" si="220"/>
        <v>х</v>
      </c>
      <c r="BP147" s="5" t="str">
        <f t="shared" si="220"/>
        <v>х</v>
      </c>
      <c r="BQ147" s="5" t="str">
        <f t="shared" si="220"/>
        <v>х</v>
      </c>
      <c r="BR147" s="5" t="str">
        <f>""</f>
        <v/>
      </c>
      <c r="BS147" s="5" t="str">
        <f>"45,00"</f>
        <v>45,00</v>
      </c>
      <c r="BT147" s="5" t="str">
        <f>"2020"</f>
        <v>2020</v>
      </c>
      <c r="BU147" s="5" t="str">
        <f t="shared" si="223"/>
        <v>нет</v>
      </c>
      <c r="BV147" s="5" t="str">
        <f t="shared" si="202"/>
        <v>x</v>
      </c>
      <c r="BW147" s="5" t="str">
        <f t="shared" si="202"/>
        <v>x</v>
      </c>
      <c r="BX147" s="5" t="str">
        <f t="shared" si="202"/>
        <v>x</v>
      </c>
      <c r="BY147" s="5" t="str">
        <f t="shared" si="221"/>
        <v>нет</v>
      </c>
      <c r="BZ147" s="5" t="str">
        <f>"x"</f>
        <v>x</v>
      </c>
      <c r="CA147" s="5" t="str">
        <f>"x"</f>
        <v>x</v>
      </c>
      <c r="CB147" s="5" t="str">
        <f>"x"</f>
        <v>x</v>
      </c>
      <c r="CC147" s="5" t="str">
        <f>""</f>
        <v/>
      </c>
      <c r="CD147" s="5" t="str">
        <f>"35,00"</f>
        <v>35,00</v>
      </c>
      <c r="CE147" s="5" t="str">
        <f>"2025"</f>
        <v>2025</v>
      </c>
      <c r="CF147" s="5" t="str">
        <f>""</f>
        <v/>
      </c>
      <c r="CG147" s="5" t="str">
        <f>"30,00"</f>
        <v>30,00</v>
      </c>
      <c r="CH147" s="5" t="str">
        <f>"2027"</f>
        <v>2027</v>
      </c>
      <c r="CI147" s="5" t="str">
        <f>"42,00"</f>
        <v>42,00</v>
      </c>
      <c r="CJ147" s="5" t="str">
        <f>"2040"</f>
        <v>2040</v>
      </c>
    </row>
    <row r="148" spans="1:88" ht="11.25" customHeight="1">
      <c r="A148" s="3" t="str">
        <f>"1.135"</f>
        <v>1.135</v>
      </c>
      <c r="B148" s="4" t="str">
        <f>"г. Грязовец, ул. Ленина, д.170"</f>
        <v>г. Грязовец, ул. Ленина, д.170</v>
      </c>
      <c r="C148" s="7" t="str">
        <f>"1963"</f>
        <v>1963</v>
      </c>
      <c r="D148" s="5" t="str">
        <f>"1963"</f>
        <v>1963</v>
      </c>
      <c r="E148" s="5" t="str">
        <f>"37,00"</f>
        <v>37,00</v>
      </c>
      <c r="F148" s="5" t="str">
        <f>"2024"</f>
        <v>2024</v>
      </c>
      <c r="G148" s="5" t="str">
        <f>"да"</f>
        <v>да</v>
      </c>
      <c r="H148" s="5" t="str">
        <f>""</f>
        <v/>
      </c>
      <c r="I148" s="5" t="str">
        <f>"30,00"</f>
        <v>30,00</v>
      </c>
      <c r="J148" s="5" t="str">
        <f>"2020"</f>
        <v>2020</v>
      </c>
      <c r="K148" s="5" t="str">
        <f>"да"</f>
        <v>да</v>
      </c>
      <c r="L148" s="5" t="str">
        <f>""</f>
        <v/>
      </c>
      <c r="M148" s="5" t="str">
        <f>"30,00"</f>
        <v>30,00</v>
      </c>
      <c r="N148" s="5" t="str">
        <f>"2021"</f>
        <v>2021</v>
      </c>
      <c r="O148" s="8" t="str">
        <f>"1963"</f>
        <v>1963</v>
      </c>
      <c r="P148" s="5" t="str">
        <f>"37,00"</f>
        <v>37,00</v>
      </c>
      <c r="Q148" s="5" t="str">
        <f>"2023"</f>
        <v>2023</v>
      </c>
      <c r="R148" s="5" t="str">
        <f>"нет"</f>
        <v>нет</v>
      </c>
      <c r="S148" s="5" t="str">
        <f t="shared" ref="S148:U153" si="227">"х"</f>
        <v>х</v>
      </c>
      <c r="T148" s="5" t="str">
        <f t="shared" si="227"/>
        <v>х</v>
      </c>
      <c r="U148" s="5" t="str">
        <f t="shared" si="227"/>
        <v>х</v>
      </c>
      <c r="V148" s="5" t="str">
        <f>"нет"</f>
        <v>нет</v>
      </c>
      <c r="W148" s="5" t="str">
        <f t="shared" ref="W148:Y153" si="228">"х"</f>
        <v>х</v>
      </c>
      <c r="X148" s="5" t="str">
        <f t="shared" si="228"/>
        <v>х</v>
      </c>
      <c r="Y148" s="9" t="str">
        <f t="shared" si="228"/>
        <v>х</v>
      </c>
      <c r="Z148" s="5" t="str">
        <f>"1963"</f>
        <v>1963</v>
      </c>
      <c r="AA148" s="5" t="str">
        <f>"37,00"</f>
        <v>37,00</v>
      </c>
      <c r="AB148" s="5" t="str">
        <f>"2023"</f>
        <v>2023</v>
      </c>
      <c r="AC148" s="5" t="str">
        <f>"нет"</f>
        <v>нет</v>
      </c>
      <c r="AD148" s="5" t="str">
        <f>"х"</f>
        <v>х</v>
      </c>
      <c r="AE148" s="5" t="str">
        <f>"х"</f>
        <v>х</v>
      </c>
      <c r="AF148" s="5" t="str">
        <f>"х"</f>
        <v>х</v>
      </c>
      <c r="AG148" s="5" t="str">
        <f>"нет"</f>
        <v>нет</v>
      </c>
      <c r="AH148" s="5" t="str">
        <f>"х"</f>
        <v>х</v>
      </c>
      <c r="AI148" s="5" t="str">
        <f>"х"</f>
        <v>х</v>
      </c>
      <c r="AJ148" s="5" t="str">
        <f>"х"</f>
        <v>х</v>
      </c>
      <c r="AK148" s="8" t="str">
        <f>"1963"</f>
        <v>1963</v>
      </c>
      <c r="AL148" s="5" t="str">
        <f>"37,00"</f>
        <v>37,00</v>
      </c>
      <c r="AM148" s="5" t="str">
        <f>"2025"</f>
        <v>2025</v>
      </c>
      <c r="AN148" s="5" t="str">
        <f>"нет"</f>
        <v>нет</v>
      </c>
      <c r="AO148" s="5" t="str">
        <f t="shared" si="218"/>
        <v>х</v>
      </c>
      <c r="AP148" s="5" t="str">
        <f t="shared" si="218"/>
        <v>х</v>
      </c>
      <c r="AQ148" s="5" t="str">
        <f t="shared" si="218"/>
        <v>х</v>
      </c>
      <c r="AR148" s="5" t="str">
        <f>"нет"</f>
        <v>нет</v>
      </c>
      <c r="AS148" s="5" t="str">
        <f t="shared" si="222"/>
        <v>х</v>
      </c>
      <c r="AT148" s="5" t="str">
        <f t="shared" si="222"/>
        <v>х</v>
      </c>
      <c r="AU148" s="5" t="str">
        <f t="shared" si="222"/>
        <v>х</v>
      </c>
      <c r="AV148" s="5" t="str">
        <f>"1963"</f>
        <v>1963</v>
      </c>
      <c r="AW148" s="5" t="str">
        <f>"37,00"</f>
        <v>37,00</v>
      </c>
      <c r="AX148" s="5" t="str">
        <f>"2026"</f>
        <v>2026</v>
      </c>
      <c r="AY148" s="5" t="str">
        <f>"нет"</f>
        <v>нет</v>
      </c>
      <c r="AZ148" s="5" t="str">
        <f t="shared" si="214"/>
        <v>х</v>
      </c>
      <c r="BA148" s="5" t="str">
        <f t="shared" si="214"/>
        <v>х</v>
      </c>
      <c r="BB148" s="5" t="str">
        <f t="shared" si="214"/>
        <v>х</v>
      </c>
      <c r="BC148" s="5" t="str">
        <f>"нет"</f>
        <v>нет</v>
      </c>
      <c r="BD148" s="5" t="str">
        <f t="shared" si="215"/>
        <v>х</v>
      </c>
      <c r="BE148" s="5" t="str">
        <f t="shared" si="215"/>
        <v>х</v>
      </c>
      <c r="BF148" s="5" t="str">
        <f t="shared" si="215"/>
        <v>х</v>
      </c>
      <c r="BG148" s="5" t="str">
        <f>"1963"</f>
        <v>1963</v>
      </c>
      <c r="BH148" s="5" t="str">
        <f>"37,00"</f>
        <v>37,00</v>
      </c>
      <c r="BI148" s="5" t="str">
        <f>"2025"</f>
        <v>2025</v>
      </c>
      <c r="BJ148" s="5" t="str">
        <f>"нет"</f>
        <v>нет</v>
      </c>
      <c r="BK148" s="5" t="str">
        <f t="shared" si="219"/>
        <v>х</v>
      </c>
      <c r="BL148" s="5" t="str">
        <f t="shared" si="219"/>
        <v>х</v>
      </c>
      <c r="BM148" s="5" t="str">
        <f t="shared" si="219"/>
        <v>х</v>
      </c>
      <c r="BN148" s="5" t="str">
        <f>"нет"</f>
        <v>нет</v>
      </c>
      <c r="BO148" s="5" t="str">
        <f t="shared" si="220"/>
        <v>х</v>
      </c>
      <c r="BP148" s="5" t="str">
        <f t="shared" si="220"/>
        <v>х</v>
      </c>
      <c r="BQ148" s="5" t="str">
        <f t="shared" si="220"/>
        <v>х</v>
      </c>
      <c r="BR148" s="5" t="str">
        <f>"2017"</f>
        <v>2017</v>
      </c>
      <c r="BS148" s="5" t="str">
        <f>"53,00"</f>
        <v>53,00</v>
      </c>
      <c r="BT148" s="5" t="str">
        <f>"2017"</f>
        <v>2017</v>
      </c>
      <c r="BU148" s="5" t="str">
        <f t="shared" si="223"/>
        <v>нет</v>
      </c>
      <c r="BV148" s="5" t="str">
        <f t="shared" si="202"/>
        <v>x</v>
      </c>
      <c r="BW148" s="5" t="str">
        <f t="shared" si="202"/>
        <v>x</v>
      </c>
      <c r="BX148" s="5" t="str">
        <f t="shared" si="202"/>
        <v>x</v>
      </c>
      <c r="BY148" s="5" t="str">
        <f t="shared" si="221"/>
        <v>нет</v>
      </c>
      <c r="BZ148" s="5" t="str">
        <f>"1963"</f>
        <v>1963</v>
      </c>
      <c r="CA148" s="5" t="str">
        <f>"37,00"</f>
        <v>37,00</v>
      </c>
      <c r="CB148" s="5" t="str">
        <f>"2023"</f>
        <v>2023</v>
      </c>
      <c r="CC148" s="5" t="str">
        <f>"1963"</f>
        <v>1963</v>
      </c>
      <c r="CD148" s="5" t="str">
        <f>"37,00"</f>
        <v>37,00</v>
      </c>
      <c r="CE148" s="5" t="str">
        <f>"2021"</f>
        <v>2021</v>
      </c>
      <c r="CF148" s="5" t="str">
        <f>"1963"</f>
        <v>1963</v>
      </c>
      <c r="CG148" s="5" t="str">
        <f>"37,00"</f>
        <v>37,00</v>
      </c>
      <c r="CH148" s="5" t="str">
        <f>"2022"</f>
        <v>2022</v>
      </c>
      <c r="CI148" s="5" t="str">
        <f>"37,00"</f>
        <v>37,00</v>
      </c>
      <c r="CJ148" s="5" t="str">
        <f>"2024"</f>
        <v>2024</v>
      </c>
    </row>
    <row r="149" spans="1:88" ht="11.25" customHeight="1">
      <c r="A149" s="3" t="str">
        <f>"1.136"</f>
        <v>1.136</v>
      </c>
      <c r="B149" s="4" t="str">
        <f>"г. Грязовец, ул. Ленина, д.172"</f>
        <v>г. Грязовец, ул. Ленина, д.172</v>
      </c>
      <c r="C149" s="7" t="str">
        <f>"1976"</f>
        <v>1976</v>
      </c>
      <c r="D149" s="5" t="str">
        <f>"1976"</f>
        <v>1976</v>
      </c>
      <c r="E149" s="5" t="str">
        <f>"20,00"</f>
        <v>20,00</v>
      </c>
      <c r="F149" s="5" t="str">
        <f>"2033"</f>
        <v>2033</v>
      </c>
      <c r="G149" s="5" t="str">
        <f>"да"</f>
        <v>да</v>
      </c>
      <c r="H149" s="5" t="str">
        <f>""</f>
        <v/>
      </c>
      <c r="I149" s="5" t="str">
        <f>"15,00"</f>
        <v>15,00</v>
      </c>
      <c r="J149" s="5" t="str">
        <f>"2033"</f>
        <v>2033</v>
      </c>
      <c r="K149" s="5" t="str">
        <f>"да"</f>
        <v>да</v>
      </c>
      <c r="L149" s="5" t="str">
        <f>""</f>
        <v/>
      </c>
      <c r="M149" s="5" t="str">
        <f>"15,00"</f>
        <v>15,00</v>
      </c>
      <c r="N149" s="5" t="str">
        <f>"2033"</f>
        <v>2033</v>
      </c>
      <c r="O149" s="8" t="str">
        <f>"1976"</f>
        <v>1976</v>
      </c>
      <c r="P149" s="5" t="str">
        <f>"20,00"</f>
        <v>20,00</v>
      </c>
      <c r="Q149" s="5" t="str">
        <f>"2020"</f>
        <v>2020</v>
      </c>
      <c r="R149" s="5" t="str">
        <f>"нет"</f>
        <v>нет</v>
      </c>
      <c r="S149" s="5" t="str">
        <f t="shared" si="227"/>
        <v>х</v>
      </c>
      <c r="T149" s="5" t="str">
        <f t="shared" si="227"/>
        <v>х</v>
      </c>
      <c r="U149" s="5" t="str">
        <f t="shared" si="227"/>
        <v>х</v>
      </c>
      <c r="V149" s="5" t="str">
        <f>"нет"</f>
        <v>нет</v>
      </c>
      <c r="W149" s="5" t="str">
        <f t="shared" si="228"/>
        <v>х</v>
      </c>
      <c r="X149" s="5" t="str">
        <f t="shared" si="228"/>
        <v>х</v>
      </c>
      <c r="Y149" s="9" t="str">
        <f t="shared" si="228"/>
        <v>х</v>
      </c>
      <c r="Z149" s="5" t="str">
        <f>"1976"</f>
        <v>1976</v>
      </c>
      <c r="AA149" s="5" t="str">
        <f>"20,00"</f>
        <v>20,00</v>
      </c>
      <c r="AB149" s="5" t="str">
        <f>"2020"</f>
        <v>2020</v>
      </c>
      <c r="AC149" s="5" t="str">
        <f>"нет"</f>
        <v>нет</v>
      </c>
      <c r="AD149" s="5" t="str">
        <f>""</f>
        <v/>
      </c>
      <c r="AE149" s="5" t="str">
        <f>""</f>
        <v/>
      </c>
      <c r="AF149" s="5" t="str">
        <f>""</f>
        <v/>
      </c>
      <c r="AG149" s="5" t="str">
        <f>"нет"</f>
        <v>нет</v>
      </c>
      <c r="AH149" s="5" t="str">
        <f>""</f>
        <v/>
      </c>
      <c r="AI149" s="5" t="str">
        <f>""</f>
        <v/>
      </c>
      <c r="AJ149" s="5" t="str">
        <f>""</f>
        <v/>
      </c>
      <c r="AK149" s="8" t="str">
        <f>"1976"</f>
        <v>1976</v>
      </c>
      <c r="AL149" s="5" t="str">
        <f>"20,00"</f>
        <v>20,00</v>
      </c>
      <c r="AM149" s="5" t="str">
        <f>"2020"</f>
        <v>2020</v>
      </c>
      <c r="AN149" s="5" t="str">
        <f>"нет"</f>
        <v>нет</v>
      </c>
      <c r="AO149" s="5" t="str">
        <f t="shared" si="218"/>
        <v>х</v>
      </c>
      <c r="AP149" s="5" t="str">
        <f t="shared" si="218"/>
        <v>х</v>
      </c>
      <c r="AQ149" s="5" t="str">
        <f t="shared" si="218"/>
        <v>х</v>
      </c>
      <c r="AR149" s="5" t="str">
        <f>"нет"</f>
        <v>нет</v>
      </c>
      <c r="AS149" s="5" t="str">
        <f t="shared" si="222"/>
        <v>х</v>
      </c>
      <c r="AT149" s="5" t="str">
        <f t="shared" si="222"/>
        <v>х</v>
      </c>
      <c r="AU149" s="5" t="str">
        <f t="shared" si="222"/>
        <v>х</v>
      </c>
      <c r="AV149" s="5" t="str">
        <f>"1976"</f>
        <v>1976</v>
      </c>
      <c r="AW149" s="5" t="str">
        <f>"20,00"</f>
        <v>20,00</v>
      </c>
      <c r="AX149" s="5" t="str">
        <f>"2020"</f>
        <v>2020</v>
      </c>
      <c r="AY149" s="5" t="str">
        <f>"нет"</f>
        <v>нет</v>
      </c>
      <c r="AZ149" s="5" t="str">
        <f t="shared" si="214"/>
        <v>х</v>
      </c>
      <c r="BA149" s="5" t="str">
        <f t="shared" si="214"/>
        <v>х</v>
      </c>
      <c r="BB149" s="5" t="str">
        <f t="shared" si="214"/>
        <v>х</v>
      </c>
      <c r="BC149" s="5" t="str">
        <f>"нет"</f>
        <v>нет</v>
      </c>
      <c r="BD149" s="5" t="str">
        <f t="shared" si="215"/>
        <v>х</v>
      </c>
      <c r="BE149" s="5" t="str">
        <f t="shared" si="215"/>
        <v>х</v>
      </c>
      <c r="BF149" s="5" t="str">
        <f t="shared" si="215"/>
        <v>х</v>
      </c>
      <c r="BG149" s="5" t="str">
        <f>"1976"</f>
        <v>1976</v>
      </c>
      <c r="BH149" s="5" t="str">
        <f>"20,00"</f>
        <v>20,00</v>
      </c>
      <c r="BI149" s="5" t="str">
        <f>"2020"</f>
        <v>2020</v>
      </c>
      <c r="BJ149" s="5" t="str">
        <f>"нет"</f>
        <v>нет</v>
      </c>
      <c r="BK149" s="5" t="str">
        <f t="shared" si="219"/>
        <v>х</v>
      </c>
      <c r="BL149" s="5" t="str">
        <f t="shared" si="219"/>
        <v>х</v>
      </c>
      <c r="BM149" s="5" t="str">
        <f t="shared" si="219"/>
        <v>х</v>
      </c>
      <c r="BN149" s="5" t="str">
        <f>"нет"</f>
        <v>нет</v>
      </c>
      <c r="BO149" s="5" t="str">
        <f t="shared" si="220"/>
        <v>х</v>
      </c>
      <c r="BP149" s="5" t="str">
        <f t="shared" si="220"/>
        <v>х</v>
      </c>
      <c r="BQ149" s="5" t="str">
        <f t="shared" si="220"/>
        <v>х</v>
      </c>
      <c r="BR149" s="5" t="str">
        <f>"1976"</f>
        <v>1976</v>
      </c>
      <c r="BS149" s="5" t="str">
        <f>"20,00"</f>
        <v>20,00</v>
      </c>
      <c r="BT149" s="5" t="str">
        <f>"2020"</f>
        <v>2020</v>
      </c>
      <c r="BU149" s="5" t="str">
        <f t="shared" si="223"/>
        <v>нет</v>
      </c>
      <c r="BV149" s="5" t="str">
        <f t="shared" si="202"/>
        <v>x</v>
      </c>
      <c r="BW149" s="5" t="str">
        <f t="shared" si="202"/>
        <v>x</v>
      </c>
      <c r="BX149" s="5" t="str">
        <f t="shared" si="202"/>
        <v>x</v>
      </c>
      <c r="BY149" s="5" t="str">
        <f t="shared" si="221"/>
        <v>нет</v>
      </c>
      <c r="BZ149" s="5" t="str">
        <f>"1976"</f>
        <v>1976</v>
      </c>
      <c r="CA149" s="5" t="str">
        <f>"20,00"</f>
        <v>20,00</v>
      </c>
      <c r="CB149" s="5" t="str">
        <f>"2020"</f>
        <v>2020</v>
      </c>
      <c r="CC149" s="5" t="str">
        <f>"1976"</f>
        <v>1976</v>
      </c>
      <c r="CD149" s="5" t="str">
        <f>"20,00"</f>
        <v>20,00</v>
      </c>
      <c r="CE149" s="5" t="str">
        <f>"2020"</f>
        <v>2020</v>
      </c>
      <c r="CF149" s="5" t="str">
        <f>"1976"</f>
        <v>1976</v>
      </c>
      <c r="CG149" s="5" t="str">
        <f>"20,00"</f>
        <v>20,00</v>
      </c>
      <c r="CH149" s="5" t="str">
        <f>"2020"</f>
        <v>2020</v>
      </c>
      <c r="CI149" s="5" t="str">
        <f>"16,00"</f>
        <v>16,00</v>
      </c>
      <c r="CJ149" s="5" t="str">
        <f>"2040"</f>
        <v>2040</v>
      </c>
    </row>
    <row r="150" spans="1:88" ht="11.25" customHeight="1">
      <c r="A150" s="3" t="str">
        <f>"1.137"</f>
        <v>1.137</v>
      </c>
      <c r="B150" s="4" t="str">
        <f>"г. Грязовец, ул. Ленина, д.174"</f>
        <v>г. Грязовец, ул. Ленина, д.174</v>
      </c>
      <c r="C150" s="7" t="str">
        <f>"1991"</f>
        <v>1991</v>
      </c>
      <c r="D150" s="5" t="str">
        <f>"1991"</f>
        <v>1991</v>
      </c>
      <c r="E150" s="5" t="str">
        <f>"20,00"</f>
        <v>20,00</v>
      </c>
      <c r="F150" s="5" t="str">
        <f>"2025"</f>
        <v>2025</v>
      </c>
      <c r="G150" s="5" t="str">
        <f>"да"</f>
        <v>да</v>
      </c>
      <c r="H150" s="5" t="str">
        <f>""</f>
        <v/>
      </c>
      <c r="I150" s="5" t="str">
        <f>"15,00"</f>
        <v>15,00</v>
      </c>
      <c r="J150" s="5" t="str">
        <f>"2025"</f>
        <v>2025</v>
      </c>
      <c r="K150" s="5" t="str">
        <f>"да"</f>
        <v>да</v>
      </c>
      <c r="L150" s="5" t="str">
        <f>""</f>
        <v/>
      </c>
      <c r="M150" s="5" t="str">
        <f>"15,00"</f>
        <v>15,00</v>
      </c>
      <c r="N150" s="5" t="str">
        <f>"2025"</f>
        <v>2025</v>
      </c>
      <c r="O150" s="8" t="str">
        <f>"1991"</f>
        <v>1991</v>
      </c>
      <c r="P150" s="5" t="str">
        <f>"16,00"</f>
        <v>16,00</v>
      </c>
      <c r="Q150" s="5" t="str">
        <f>"2025"</f>
        <v>2025</v>
      </c>
      <c r="R150" s="5" t="str">
        <f>"нет"</f>
        <v>нет</v>
      </c>
      <c r="S150" s="5" t="str">
        <f t="shared" si="227"/>
        <v>х</v>
      </c>
      <c r="T150" s="5" t="str">
        <f t="shared" si="227"/>
        <v>х</v>
      </c>
      <c r="U150" s="5" t="str">
        <f t="shared" si="227"/>
        <v>х</v>
      </c>
      <c r="V150" s="5" t="str">
        <f>"нет"</f>
        <v>нет</v>
      </c>
      <c r="W150" s="5" t="str">
        <f t="shared" si="228"/>
        <v>х</v>
      </c>
      <c r="X150" s="5" t="str">
        <f t="shared" si="228"/>
        <v>х</v>
      </c>
      <c r="Y150" s="9" t="str">
        <f t="shared" si="228"/>
        <v>х</v>
      </c>
      <c r="Z150" s="5" t="str">
        <f>"1991"</f>
        <v>1991</v>
      </c>
      <c r="AA150" s="5" t="str">
        <f>"10,00"</f>
        <v>10,00</v>
      </c>
      <c r="AB150" s="5" t="str">
        <f>"2025"</f>
        <v>2025</v>
      </c>
      <c r="AC150" s="5" t="str">
        <f>"нет"</f>
        <v>нет</v>
      </c>
      <c r="AD150" s="5" t="str">
        <f>""</f>
        <v/>
      </c>
      <c r="AE150" s="5" t="str">
        <f>""</f>
        <v/>
      </c>
      <c r="AF150" s="5" t="str">
        <f>""</f>
        <v/>
      </c>
      <c r="AG150" s="5" t="str">
        <f>"нет"</f>
        <v>нет</v>
      </c>
      <c r="AH150" s="5" t="str">
        <f>""</f>
        <v/>
      </c>
      <c r="AI150" s="5" t="str">
        <f>""</f>
        <v/>
      </c>
      <c r="AJ150" s="5" t="str">
        <f>""</f>
        <v/>
      </c>
      <c r="AK150" s="8" t="str">
        <f>"1991"</f>
        <v>1991</v>
      </c>
      <c r="AL150" s="5" t="str">
        <f>"25,00"</f>
        <v>25,00</v>
      </c>
      <c r="AM150" s="5" t="str">
        <f>"2033"</f>
        <v>2033</v>
      </c>
      <c r="AN150" s="5" t="str">
        <f>"нет"</f>
        <v>нет</v>
      </c>
      <c r="AO150" s="5" t="str">
        <f>""</f>
        <v/>
      </c>
      <c r="AP150" s="5" t="str">
        <f>""</f>
        <v/>
      </c>
      <c r="AQ150" s="5" t="str">
        <f>""</f>
        <v/>
      </c>
      <c r="AR150" s="5" t="str">
        <f>"нет"</f>
        <v>нет</v>
      </c>
      <c r="AS150" s="5" t="str">
        <f>""</f>
        <v/>
      </c>
      <c r="AT150" s="5" t="str">
        <f>""</f>
        <v/>
      </c>
      <c r="AU150" s="5" t="str">
        <f>""</f>
        <v/>
      </c>
      <c r="AV150" s="5" t="str">
        <f>"1991"</f>
        <v>1991</v>
      </c>
      <c r="AW150" s="5" t="str">
        <f>"25,00"</f>
        <v>25,00</v>
      </c>
      <c r="AX150" s="5" t="str">
        <f>"2025"</f>
        <v>2025</v>
      </c>
      <c r="AY150" s="5" t="str">
        <f>"нет"</f>
        <v>нет</v>
      </c>
      <c r="AZ150" s="5" t="str">
        <f t="shared" si="214"/>
        <v>х</v>
      </c>
      <c r="BA150" s="5" t="str">
        <f t="shared" si="214"/>
        <v>х</v>
      </c>
      <c r="BB150" s="5" t="str">
        <f t="shared" si="214"/>
        <v>х</v>
      </c>
      <c r="BC150" s="5" t="str">
        <f>"нет"</f>
        <v>нет</v>
      </c>
      <c r="BD150" s="5" t="str">
        <f t="shared" si="215"/>
        <v>х</v>
      </c>
      <c r="BE150" s="5" t="str">
        <f t="shared" si="215"/>
        <v>х</v>
      </c>
      <c r="BF150" s="5" t="str">
        <f t="shared" si="215"/>
        <v>х</v>
      </c>
      <c r="BG150" s="5" t="str">
        <f>"1991"</f>
        <v>1991</v>
      </c>
      <c r="BH150" s="5" t="str">
        <f>"25,00"</f>
        <v>25,00</v>
      </c>
      <c r="BI150" s="5" t="str">
        <f>"2025"</f>
        <v>2025</v>
      </c>
      <c r="BJ150" s="5" t="str">
        <f>"нет"</f>
        <v>нет</v>
      </c>
      <c r="BK150" s="5" t="str">
        <f t="shared" si="219"/>
        <v>х</v>
      </c>
      <c r="BL150" s="5" t="str">
        <f t="shared" si="219"/>
        <v>х</v>
      </c>
      <c r="BM150" s="5" t="str">
        <f t="shared" si="219"/>
        <v>х</v>
      </c>
      <c r="BN150" s="5" t="str">
        <f>"нет"</f>
        <v>нет</v>
      </c>
      <c r="BO150" s="5" t="str">
        <f t="shared" si="220"/>
        <v>х</v>
      </c>
      <c r="BP150" s="5" t="str">
        <f t="shared" si="220"/>
        <v>х</v>
      </c>
      <c r="BQ150" s="5" t="str">
        <f t="shared" si="220"/>
        <v>х</v>
      </c>
      <c r="BR150" s="5" t="str">
        <f>"1991"</f>
        <v>1991</v>
      </c>
      <c r="BS150" s="5" t="str">
        <f>"16,00"</f>
        <v>16,00</v>
      </c>
      <c r="BT150" s="5" t="str">
        <f>"2025"</f>
        <v>2025</v>
      </c>
      <c r="BU150" s="5" t="str">
        <f t="shared" si="223"/>
        <v>нет</v>
      </c>
      <c r="BV150" s="5" t="str">
        <f t="shared" si="202"/>
        <v>x</v>
      </c>
      <c r="BW150" s="5" t="str">
        <f t="shared" si="202"/>
        <v>x</v>
      </c>
      <c r="BX150" s="5" t="str">
        <f t="shared" si="202"/>
        <v>x</v>
      </c>
      <c r="BY150" s="5" t="str">
        <f t="shared" si="221"/>
        <v>нет</v>
      </c>
      <c r="BZ150" s="5" t="str">
        <f>"1991"</f>
        <v>1991</v>
      </c>
      <c r="CA150" s="5" t="str">
        <f>"16,00"</f>
        <v>16,00</v>
      </c>
      <c r="CB150" s="5" t="str">
        <f>"2025"</f>
        <v>2025</v>
      </c>
      <c r="CC150" s="5" t="str">
        <f>"1991"</f>
        <v>1991</v>
      </c>
      <c r="CD150" s="5" t="str">
        <f>"16,00"</f>
        <v>16,00</v>
      </c>
      <c r="CE150" s="5" t="str">
        <f>"2025"</f>
        <v>2025</v>
      </c>
      <c r="CF150" s="5" t="str">
        <f>"1991"</f>
        <v>1991</v>
      </c>
      <c r="CG150" s="5" t="str">
        <f>"16,00"</f>
        <v>16,00</v>
      </c>
      <c r="CH150" s="5" t="str">
        <f>"2025"</f>
        <v>2025</v>
      </c>
      <c r="CI150" s="5" t="str">
        <f>"16,00"</f>
        <v>16,00</v>
      </c>
      <c r="CJ150" s="5" t="str">
        <f>"2033"</f>
        <v>2033</v>
      </c>
    </row>
    <row r="151" spans="1:88" ht="11.25" customHeight="1">
      <c r="A151" s="3" t="str">
        <f>"1.138"</f>
        <v>1.138</v>
      </c>
      <c r="B151" s="4" t="str">
        <f>"г. Грязовец, ул. Ленина, д.176"</f>
        <v>г. Грязовец, ул. Ленина, д.176</v>
      </c>
      <c r="C151" s="7" t="str">
        <f>"1994"</f>
        <v>1994</v>
      </c>
      <c r="D151" s="5" t="str">
        <f>"1994"</f>
        <v>1994</v>
      </c>
      <c r="E151" s="5" t="str">
        <f>"20,00"</f>
        <v>20,00</v>
      </c>
      <c r="F151" s="5" t="str">
        <f>"2025"</f>
        <v>2025</v>
      </c>
      <c r="G151" s="5" t="str">
        <f>"да"</f>
        <v>да</v>
      </c>
      <c r="H151" s="5" t="str">
        <f>"1994"</f>
        <v>1994</v>
      </c>
      <c r="I151" s="5" t="str">
        <f>"20,00"</f>
        <v>20,00</v>
      </c>
      <c r="J151" s="5" t="str">
        <f>"2025"</f>
        <v>2025</v>
      </c>
      <c r="K151" s="5" t="str">
        <f>"да"</f>
        <v>да</v>
      </c>
      <c r="L151" s="5" t="str">
        <f>"1994"</f>
        <v>1994</v>
      </c>
      <c r="M151" s="5" t="str">
        <f>"20,00"</f>
        <v>20,00</v>
      </c>
      <c r="N151" s="5" t="str">
        <f>"2025"</f>
        <v>2025</v>
      </c>
      <c r="O151" s="8" t="str">
        <f>"1994"</f>
        <v>1994</v>
      </c>
      <c r="P151" s="5" t="str">
        <f>"15,00"</f>
        <v>15,00</v>
      </c>
      <c r="Q151" s="5" t="str">
        <f>"2025"</f>
        <v>2025</v>
      </c>
      <c r="R151" s="5" t="str">
        <f>"нет"</f>
        <v>нет</v>
      </c>
      <c r="S151" s="5" t="str">
        <f t="shared" si="227"/>
        <v>х</v>
      </c>
      <c r="T151" s="5" t="str">
        <f t="shared" si="227"/>
        <v>х</v>
      </c>
      <c r="U151" s="5" t="str">
        <f t="shared" si="227"/>
        <v>х</v>
      </c>
      <c r="V151" s="5" t="str">
        <f>"нет"</f>
        <v>нет</v>
      </c>
      <c r="W151" s="5" t="str">
        <f t="shared" si="228"/>
        <v>х</v>
      </c>
      <c r="X151" s="5" t="str">
        <f t="shared" si="228"/>
        <v>х</v>
      </c>
      <c r="Y151" s="9" t="str">
        <f t="shared" si="228"/>
        <v>х</v>
      </c>
      <c r="Z151" s="5" t="str">
        <f>"1994"</f>
        <v>1994</v>
      </c>
      <c r="AA151" s="5" t="str">
        <f>"10,00"</f>
        <v>10,00</v>
      </c>
      <c r="AB151" s="5" t="str">
        <f>"2025"</f>
        <v>2025</v>
      </c>
      <c r="AC151" s="5" t="str">
        <f>"нет"</f>
        <v>нет</v>
      </c>
      <c r="AD151" s="5" t="str">
        <f>""</f>
        <v/>
      </c>
      <c r="AE151" s="5" t="str">
        <f>""</f>
        <v/>
      </c>
      <c r="AF151" s="5" t="str">
        <f>""</f>
        <v/>
      </c>
      <c r="AG151" s="5" t="str">
        <f>"нет"</f>
        <v>нет</v>
      </c>
      <c r="AH151" s="5" t="str">
        <f>""</f>
        <v/>
      </c>
      <c r="AI151" s="5" t="str">
        <f>""</f>
        <v/>
      </c>
      <c r="AJ151" s="5" t="str">
        <f>""</f>
        <v/>
      </c>
      <c r="AK151" s="8" t="str">
        <f>"1994"</f>
        <v>1994</v>
      </c>
      <c r="AL151" s="5" t="str">
        <f>"25,00"</f>
        <v>25,00</v>
      </c>
      <c r="AM151" s="5" t="str">
        <f>"2033"</f>
        <v>2033</v>
      </c>
      <c r="AN151" s="5" t="str">
        <f>"нет"</f>
        <v>нет</v>
      </c>
      <c r="AO151" s="5" t="str">
        <f>""</f>
        <v/>
      </c>
      <c r="AP151" s="5" t="str">
        <f>""</f>
        <v/>
      </c>
      <c r="AQ151" s="5" t="str">
        <f>""</f>
        <v/>
      </c>
      <c r="AR151" s="5" t="str">
        <f>"нет"</f>
        <v>нет</v>
      </c>
      <c r="AS151" s="5" t="str">
        <f>""</f>
        <v/>
      </c>
      <c r="AT151" s="5" t="str">
        <f>""</f>
        <v/>
      </c>
      <c r="AU151" s="5" t="str">
        <f>""</f>
        <v/>
      </c>
      <c r="AV151" s="5" t="str">
        <f>"1994"</f>
        <v>1994</v>
      </c>
      <c r="AW151" s="5" t="str">
        <f>"25,00"</f>
        <v>25,00</v>
      </c>
      <c r="AX151" s="5" t="str">
        <f>"2025"</f>
        <v>2025</v>
      </c>
      <c r="AY151" s="5" t="str">
        <f>"нет"</f>
        <v>нет</v>
      </c>
      <c r="AZ151" s="5" t="str">
        <f t="shared" si="214"/>
        <v>х</v>
      </c>
      <c r="BA151" s="5" t="str">
        <f t="shared" si="214"/>
        <v>х</v>
      </c>
      <c r="BB151" s="5" t="str">
        <f t="shared" si="214"/>
        <v>х</v>
      </c>
      <c r="BC151" s="5" t="str">
        <f>"нет"</f>
        <v>нет</v>
      </c>
      <c r="BD151" s="5" t="str">
        <f t="shared" si="215"/>
        <v>х</v>
      </c>
      <c r="BE151" s="5" t="str">
        <f t="shared" si="215"/>
        <v>х</v>
      </c>
      <c r="BF151" s="5" t="str">
        <f t="shared" si="215"/>
        <v>х</v>
      </c>
      <c r="BG151" s="5" t="str">
        <f>"1991"</f>
        <v>1991</v>
      </c>
      <c r="BH151" s="5" t="str">
        <f>"25,00"</f>
        <v>25,00</v>
      </c>
      <c r="BI151" s="5" t="str">
        <f>"2025"</f>
        <v>2025</v>
      </c>
      <c r="BJ151" s="5" t="str">
        <f>"нет"</f>
        <v>нет</v>
      </c>
      <c r="BK151" s="5" t="str">
        <f t="shared" si="219"/>
        <v>х</v>
      </c>
      <c r="BL151" s="5" t="str">
        <f t="shared" si="219"/>
        <v>х</v>
      </c>
      <c r="BM151" s="5" t="str">
        <f t="shared" si="219"/>
        <v>х</v>
      </c>
      <c r="BN151" s="5" t="str">
        <f>"нет"</f>
        <v>нет</v>
      </c>
      <c r="BO151" s="5" t="str">
        <f t="shared" si="220"/>
        <v>х</v>
      </c>
      <c r="BP151" s="5" t="str">
        <f t="shared" si="220"/>
        <v>х</v>
      </c>
      <c r="BQ151" s="5" t="str">
        <f t="shared" si="220"/>
        <v>х</v>
      </c>
      <c r="BR151" s="5" t="str">
        <f>"1994"</f>
        <v>1994</v>
      </c>
      <c r="BS151" s="5" t="str">
        <f>"15,00"</f>
        <v>15,00</v>
      </c>
      <c r="BT151" s="5" t="str">
        <f>"2025"</f>
        <v>2025</v>
      </c>
      <c r="BU151" s="5" t="str">
        <f t="shared" si="223"/>
        <v>нет</v>
      </c>
      <c r="BV151" s="5" t="str">
        <f t="shared" si="202"/>
        <v>x</v>
      </c>
      <c r="BW151" s="5" t="str">
        <f t="shared" si="202"/>
        <v>x</v>
      </c>
      <c r="BX151" s="5" t="str">
        <f t="shared" si="202"/>
        <v>x</v>
      </c>
      <c r="BY151" s="5" t="str">
        <f t="shared" si="221"/>
        <v>нет</v>
      </c>
      <c r="BZ151" s="5" t="str">
        <f>"1994"</f>
        <v>1994</v>
      </c>
      <c r="CA151" s="5" t="str">
        <f>"15,00"</f>
        <v>15,00</v>
      </c>
      <c r="CB151" s="5" t="str">
        <f>"2025"</f>
        <v>2025</v>
      </c>
      <c r="CC151" s="5" t="str">
        <f>"1994"</f>
        <v>1994</v>
      </c>
      <c r="CD151" s="5" t="str">
        <f>"15,00"</f>
        <v>15,00</v>
      </c>
      <c r="CE151" s="5" t="str">
        <f>"2025"</f>
        <v>2025</v>
      </c>
      <c r="CF151" s="5" t="str">
        <f>"1994"</f>
        <v>1994</v>
      </c>
      <c r="CG151" s="5" t="str">
        <f>"15,00"</f>
        <v>15,00</v>
      </c>
      <c r="CH151" s="5" t="str">
        <f>"2025"</f>
        <v>2025</v>
      </c>
      <c r="CI151" s="5" t="str">
        <f>"15,00"</f>
        <v>15,00</v>
      </c>
      <c r="CJ151" s="5" t="str">
        <f>"2044"</f>
        <v>2044</v>
      </c>
    </row>
    <row r="152" spans="1:88" ht="11.25" customHeight="1">
      <c r="A152" s="3" t="str">
        <f>"1.139"</f>
        <v>1.139</v>
      </c>
      <c r="B152" s="4" t="str">
        <f>"г. Грязовец, ул. Ленина, д.21"</f>
        <v>г. Грязовец, ул. Ленина, д.21</v>
      </c>
      <c r="C152" s="7" t="str">
        <f>"1970"</f>
        <v>1970</v>
      </c>
      <c r="D152" s="5" t="str">
        <f>"1970"</f>
        <v>1970</v>
      </c>
      <c r="E152" s="5" t="str">
        <f>"35,00"</f>
        <v>35,00</v>
      </c>
      <c r="F152" s="5" t="str">
        <f>"2025"</f>
        <v>2025</v>
      </c>
      <c r="G152" s="5" t="str">
        <f>"да"</f>
        <v>да</v>
      </c>
      <c r="H152" s="5" t="str">
        <f>"1970"</f>
        <v>1970</v>
      </c>
      <c r="I152" s="5" t="str">
        <f>"35,00"</f>
        <v>35,00</v>
      </c>
      <c r="J152" s="5" t="str">
        <f>"2025"</f>
        <v>2025</v>
      </c>
      <c r="K152" s="5" t="str">
        <f>"да"</f>
        <v>да</v>
      </c>
      <c r="L152" s="5" t="str">
        <f>"1970"</f>
        <v>1970</v>
      </c>
      <c r="M152" s="5" t="str">
        <f>"35,00"</f>
        <v>35,00</v>
      </c>
      <c r="N152" s="5" t="str">
        <f>"2025"</f>
        <v>2025</v>
      </c>
      <c r="O152" s="8" t="str">
        <f>"1970"</f>
        <v>1970</v>
      </c>
      <c r="P152" s="5" t="str">
        <f>"20,00"</f>
        <v>20,00</v>
      </c>
      <c r="Q152" s="5" t="str">
        <f>"2025"</f>
        <v>2025</v>
      </c>
      <c r="R152" s="5" t="str">
        <f>"нет"</f>
        <v>нет</v>
      </c>
      <c r="S152" s="5" t="str">
        <f t="shared" si="227"/>
        <v>х</v>
      </c>
      <c r="T152" s="5" t="str">
        <f t="shared" si="227"/>
        <v>х</v>
      </c>
      <c r="U152" s="5" t="str">
        <f t="shared" si="227"/>
        <v>х</v>
      </c>
      <c r="V152" s="5" t="str">
        <f>"нет"</f>
        <v>нет</v>
      </c>
      <c r="W152" s="5" t="str">
        <f t="shared" si="228"/>
        <v>х</v>
      </c>
      <c r="X152" s="5" t="str">
        <f t="shared" si="228"/>
        <v>х</v>
      </c>
      <c r="Y152" s="9" t="str">
        <f t="shared" si="228"/>
        <v>х</v>
      </c>
      <c r="Z152" s="5" t="str">
        <f>"1970"</f>
        <v>1970</v>
      </c>
      <c r="AA152" s="5" t="str">
        <f>"20,00"</f>
        <v>20,00</v>
      </c>
      <c r="AB152" s="5" t="str">
        <f>"2025"</f>
        <v>2025</v>
      </c>
      <c r="AC152" s="5" t="str">
        <f>"нет"</f>
        <v>нет</v>
      </c>
      <c r="AD152" s="5" t="str">
        <f>""</f>
        <v/>
      </c>
      <c r="AE152" s="5" t="str">
        <f>""</f>
        <v/>
      </c>
      <c r="AF152" s="5" t="str">
        <f>""</f>
        <v/>
      </c>
      <c r="AG152" s="5" t="str">
        <f>"нет"</f>
        <v>нет</v>
      </c>
      <c r="AH152" s="5" t="str">
        <f>""</f>
        <v/>
      </c>
      <c r="AI152" s="5" t="str">
        <f>""</f>
        <v/>
      </c>
      <c r="AJ152" s="5" t="str">
        <f>""</f>
        <v/>
      </c>
      <c r="AK152" s="8" t="str">
        <f>"1970"</f>
        <v>1970</v>
      </c>
      <c r="AL152" s="5" t="str">
        <f>"30,00"</f>
        <v>30,00</v>
      </c>
      <c r="AM152" s="5" t="str">
        <f>"2025"</f>
        <v>2025</v>
      </c>
      <c r="AN152" s="5" t="str">
        <f>"нет"</f>
        <v>нет</v>
      </c>
      <c r="AO152" s="5" t="str">
        <f t="shared" ref="AO152:AQ153" si="229">"х"</f>
        <v>х</v>
      </c>
      <c r="AP152" s="5" t="str">
        <f t="shared" si="229"/>
        <v>х</v>
      </c>
      <c r="AQ152" s="5" t="str">
        <f t="shared" si="229"/>
        <v>х</v>
      </c>
      <c r="AR152" s="5" t="str">
        <f>"нет"</f>
        <v>нет</v>
      </c>
      <c r="AS152" s="5" t="str">
        <f t="shared" ref="AS152:AU153" si="230">"х"</f>
        <v>х</v>
      </c>
      <c r="AT152" s="5" t="str">
        <f t="shared" si="230"/>
        <v>х</v>
      </c>
      <c r="AU152" s="5" t="str">
        <f t="shared" si="230"/>
        <v>х</v>
      </c>
      <c r="AV152" s="5" t="str">
        <f>"1970"</f>
        <v>1970</v>
      </c>
      <c r="AW152" s="5" t="str">
        <f>"30,00"</f>
        <v>30,00</v>
      </c>
      <c r="AX152" s="5" t="str">
        <f>"2025"</f>
        <v>2025</v>
      </c>
      <c r="AY152" s="5" t="str">
        <f>"нет"</f>
        <v>нет</v>
      </c>
      <c r="AZ152" s="5" t="str">
        <f t="shared" si="214"/>
        <v>х</v>
      </c>
      <c r="BA152" s="5" t="str">
        <f t="shared" si="214"/>
        <v>х</v>
      </c>
      <c r="BB152" s="5" t="str">
        <f t="shared" si="214"/>
        <v>х</v>
      </c>
      <c r="BC152" s="5" t="str">
        <f>"нет"</f>
        <v>нет</v>
      </c>
      <c r="BD152" s="5" t="str">
        <f t="shared" si="215"/>
        <v>х</v>
      </c>
      <c r="BE152" s="5" t="str">
        <f t="shared" si="215"/>
        <v>х</v>
      </c>
      <c r="BF152" s="5" t="str">
        <f t="shared" si="215"/>
        <v>х</v>
      </c>
      <c r="BG152" s="5" t="str">
        <f>"1970"</f>
        <v>1970</v>
      </c>
      <c r="BH152" s="5" t="str">
        <f>"30,00"</f>
        <v>30,00</v>
      </c>
      <c r="BI152" s="5" t="str">
        <f>"2025"</f>
        <v>2025</v>
      </c>
      <c r="BJ152" s="5" t="str">
        <f>"нет"</f>
        <v>нет</v>
      </c>
      <c r="BK152" s="5" t="str">
        <f t="shared" si="219"/>
        <v>х</v>
      </c>
      <c r="BL152" s="5" t="str">
        <f t="shared" si="219"/>
        <v>х</v>
      </c>
      <c r="BM152" s="5" t="str">
        <f t="shared" si="219"/>
        <v>х</v>
      </c>
      <c r="BN152" s="5" t="str">
        <f>"нет"</f>
        <v>нет</v>
      </c>
      <c r="BO152" s="5" t="str">
        <f t="shared" si="220"/>
        <v>х</v>
      </c>
      <c r="BP152" s="5" t="str">
        <f t="shared" si="220"/>
        <v>х</v>
      </c>
      <c r="BQ152" s="5" t="str">
        <f t="shared" si="220"/>
        <v>х</v>
      </c>
      <c r="BR152" s="5" t="str">
        <f>"1970"</f>
        <v>1970</v>
      </c>
      <c r="BS152" s="5" t="str">
        <f>"20,00"</f>
        <v>20,00</v>
      </c>
      <c r="BT152" s="5" t="str">
        <f>"2025"</f>
        <v>2025</v>
      </c>
      <c r="BU152" s="5" t="str">
        <f t="shared" si="223"/>
        <v>нет</v>
      </c>
      <c r="BV152" s="5" t="str">
        <f t="shared" si="202"/>
        <v>x</v>
      </c>
      <c r="BW152" s="5" t="str">
        <f t="shared" si="202"/>
        <v>x</v>
      </c>
      <c r="BX152" s="5" t="str">
        <f t="shared" si="202"/>
        <v>x</v>
      </c>
      <c r="BY152" s="5" t="str">
        <f t="shared" si="221"/>
        <v>нет</v>
      </c>
      <c r="BZ152" s="5" t="str">
        <f t="shared" ref="BZ152:CB155" si="231">"x"</f>
        <v>x</v>
      </c>
      <c r="CA152" s="5" t="str">
        <f t="shared" si="231"/>
        <v>x</v>
      </c>
      <c r="CB152" s="5" t="str">
        <f t="shared" si="231"/>
        <v>x</v>
      </c>
      <c r="CC152" s="5" t="str">
        <f>"1970"</f>
        <v>1970</v>
      </c>
      <c r="CD152" s="5" t="str">
        <f>"25,00"</f>
        <v>25,00</v>
      </c>
      <c r="CE152" s="5" t="str">
        <f>"2025"</f>
        <v>2025</v>
      </c>
      <c r="CF152" s="5" t="str">
        <f>"1970"</f>
        <v>1970</v>
      </c>
      <c r="CG152" s="5" t="str">
        <f>"30,00"</f>
        <v>30,00</v>
      </c>
      <c r="CH152" s="5" t="str">
        <f>"2025"</f>
        <v>2025</v>
      </c>
      <c r="CI152" s="5" t="str">
        <f>"29,00"</f>
        <v>29,00</v>
      </c>
      <c r="CJ152" s="5" t="str">
        <f>"2025"</f>
        <v>2025</v>
      </c>
    </row>
    <row r="153" spans="1:88" ht="11.25" customHeight="1">
      <c r="A153" s="3" t="str">
        <f>"1.140"</f>
        <v>1.140</v>
      </c>
      <c r="B153" s="4" t="str">
        <f>"г. Грязовец, ул. Ленина, д.22"</f>
        <v>г. Грязовец, ул. Ленина, д.22</v>
      </c>
      <c r="C153" s="7" t="str">
        <f>"1956"</f>
        <v>1956</v>
      </c>
      <c r="D153" s="5" t="str">
        <f>"1956"</f>
        <v>1956</v>
      </c>
      <c r="E153" s="5" t="str">
        <f>"30,00"</f>
        <v>30,00</v>
      </c>
      <c r="F153" s="5" t="str">
        <f>"2022"</f>
        <v>2022</v>
      </c>
      <c r="G153" s="5" t="str">
        <f>"нет"</f>
        <v>нет</v>
      </c>
      <c r="H153" s="5" t="str">
        <f>""</f>
        <v/>
      </c>
      <c r="I153" s="5" t="str">
        <f>""</f>
        <v/>
      </c>
      <c r="J153" s="5" t="str">
        <f>""</f>
        <v/>
      </c>
      <c r="K153" s="5" t="str">
        <f>"нет"</f>
        <v>нет</v>
      </c>
      <c r="L153" s="5" t="str">
        <f>""</f>
        <v/>
      </c>
      <c r="M153" s="5" t="str">
        <f>""</f>
        <v/>
      </c>
      <c r="N153" s="5" t="str">
        <f>""</f>
        <v/>
      </c>
      <c r="O153" s="8" t="str">
        <f>"х"</f>
        <v>х</v>
      </c>
      <c r="P153" s="5" t="str">
        <f>"х"</f>
        <v>х</v>
      </c>
      <c r="Q153" s="5" t="str">
        <f>"х"</f>
        <v>х</v>
      </c>
      <c r="R153" s="5" t="str">
        <f>"х"</f>
        <v>х</v>
      </c>
      <c r="S153" s="5" t="str">
        <f t="shared" si="227"/>
        <v>х</v>
      </c>
      <c r="T153" s="5" t="str">
        <f t="shared" si="227"/>
        <v>х</v>
      </c>
      <c r="U153" s="5" t="str">
        <f t="shared" si="227"/>
        <v>х</v>
      </c>
      <c r="V153" s="5" t="str">
        <f>"х"</f>
        <v>х</v>
      </c>
      <c r="W153" s="5" t="str">
        <f t="shared" si="228"/>
        <v>х</v>
      </c>
      <c r="X153" s="5" t="str">
        <f t="shared" si="228"/>
        <v>х</v>
      </c>
      <c r="Y153" s="9" t="str">
        <f t="shared" si="228"/>
        <v>х</v>
      </c>
      <c r="Z153" s="5" t="str">
        <f t="shared" ref="Z153:AN153" si="232">"х"</f>
        <v>х</v>
      </c>
      <c r="AA153" s="5" t="str">
        <f t="shared" si="232"/>
        <v>х</v>
      </c>
      <c r="AB153" s="5" t="str">
        <f t="shared" si="232"/>
        <v>х</v>
      </c>
      <c r="AC153" s="5" t="str">
        <f t="shared" si="232"/>
        <v>х</v>
      </c>
      <c r="AD153" s="5" t="str">
        <f t="shared" si="232"/>
        <v>х</v>
      </c>
      <c r="AE153" s="5" t="str">
        <f t="shared" si="232"/>
        <v>х</v>
      </c>
      <c r="AF153" s="5" t="str">
        <f t="shared" si="232"/>
        <v>х</v>
      </c>
      <c r="AG153" s="5" t="str">
        <f t="shared" si="232"/>
        <v>х</v>
      </c>
      <c r="AH153" s="5" t="str">
        <f t="shared" si="232"/>
        <v>х</v>
      </c>
      <c r="AI153" s="5" t="str">
        <f t="shared" si="232"/>
        <v>х</v>
      </c>
      <c r="AJ153" s="5" t="str">
        <f t="shared" si="232"/>
        <v>х</v>
      </c>
      <c r="AK153" s="8" t="str">
        <f t="shared" si="232"/>
        <v>х</v>
      </c>
      <c r="AL153" s="5" t="str">
        <f t="shared" si="232"/>
        <v>х</v>
      </c>
      <c r="AM153" s="5" t="str">
        <f t="shared" si="232"/>
        <v>х</v>
      </c>
      <c r="AN153" s="5" t="str">
        <f t="shared" si="232"/>
        <v>х</v>
      </c>
      <c r="AO153" s="5" t="str">
        <f t="shared" si="229"/>
        <v>х</v>
      </c>
      <c r="AP153" s="5" t="str">
        <f t="shared" si="229"/>
        <v>х</v>
      </c>
      <c r="AQ153" s="5" t="str">
        <f t="shared" si="229"/>
        <v>х</v>
      </c>
      <c r="AR153" s="5" t="str">
        <f>"х"</f>
        <v>х</v>
      </c>
      <c r="AS153" s="5" t="str">
        <f t="shared" si="230"/>
        <v>х</v>
      </c>
      <c r="AT153" s="5" t="str">
        <f t="shared" si="230"/>
        <v>х</v>
      </c>
      <c r="AU153" s="5" t="str">
        <f t="shared" si="230"/>
        <v>х</v>
      </c>
      <c r="AV153" s="5" t="str">
        <f>"х"</f>
        <v>х</v>
      </c>
      <c r="AW153" s="5" t="str">
        <f>"х"</f>
        <v>х</v>
      </c>
      <c r="AX153" s="5" t="str">
        <f>"х"</f>
        <v>х</v>
      </c>
      <c r="AY153" s="5" t="str">
        <f>"х"</f>
        <v>х</v>
      </c>
      <c r="AZ153" s="5" t="str">
        <f t="shared" si="214"/>
        <v>х</v>
      </c>
      <c r="BA153" s="5" t="str">
        <f t="shared" si="214"/>
        <v>х</v>
      </c>
      <c r="BB153" s="5" t="str">
        <f t="shared" si="214"/>
        <v>х</v>
      </c>
      <c r="BC153" s="5" t="str">
        <f>"х"</f>
        <v>х</v>
      </c>
      <c r="BD153" s="5" t="str">
        <f t="shared" si="215"/>
        <v>х</v>
      </c>
      <c r="BE153" s="5" t="str">
        <f t="shared" si="215"/>
        <v>х</v>
      </c>
      <c r="BF153" s="5" t="str">
        <f t="shared" si="215"/>
        <v>х</v>
      </c>
      <c r="BG153" s="5" t="str">
        <f>"х"</f>
        <v>х</v>
      </c>
      <c r="BH153" s="5" t="str">
        <f>"х"</f>
        <v>х</v>
      </c>
      <c r="BI153" s="5" t="str">
        <f>"х"</f>
        <v>х</v>
      </c>
      <c r="BJ153" s="5" t="str">
        <f>"х"</f>
        <v>х</v>
      </c>
      <c r="BK153" s="5" t="str">
        <f t="shared" si="219"/>
        <v>х</v>
      </c>
      <c r="BL153" s="5" t="str">
        <f t="shared" si="219"/>
        <v>х</v>
      </c>
      <c r="BM153" s="5" t="str">
        <f t="shared" si="219"/>
        <v>х</v>
      </c>
      <c r="BN153" s="5" t="str">
        <f>"х"</f>
        <v>х</v>
      </c>
      <c r="BO153" s="5" t="str">
        <f t="shared" si="220"/>
        <v>х</v>
      </c>
      <c r="BP153" s="5" t="str">
        <f t="shared" si="220"/>
        <v>х</v>
      </c>
      <c r="BQ153" s="5" t="str">
        <f t="shared" si="220"/>
        <v>х</v>
      </c>
      <c r="BR153" s="5" t="str">
        <f>""</f>
        <v/>
      </c>
      <c r="BS153" s="5" t="str">
        <f>"10,00"</f>
        <v>10,00</v>
      </c>
      <c r="BT153" s="5" t="str">
        <f>"2025"</f>
        <v>2025</v>
      </c>
      <c r="BU153" s="5" t="str">
        <f t="shared" si="223"/>
        <v>нет</v>
      </c>
      <c r="BV153" s="5" t="str">
        <f t="shared" si="202"/>
        <v>x</v>
      </c>
      <c r="BW153" s="5" t="str">
        <f t="shared" si="202"/>
        <v>x</v>
      </c>
      <c r="BX153" s="5" t="str">
        <f t="shared" si="202"/>
        <v>x</v>
      </c>
      <c r="BY153" s="5" t="str">
        <f t="shared" si="221"/>
        <v>нет</v>
      </c>
      <c r="BZ153" s="5" t="str">
        <f t="shared" si="231"/>
        <v>x</v>
      </c>
      <c r="CA153" s="5" t="str">
        <f t="shared" si="231"/>
        <v>x</v>
      </c>
      <c r="CB153" s="5" t="str">
        <f t="shared" si="231"/>
        <v>x</v>
      </c>
      <c r="CC153" s="5" t="str">
        <f>""</f>
        <v/>
      </c>
      <c r="CD153" s="5" t="str">
        <f>"54,00"</f>
        <v>54,00</v>
      </c>
      <c r="CE153" s="5" t="str">
        <f>"2017"</f>
        <v>2017</v>
      </c>
      <c r="CF153" s="5" t="str">
        <f>""</f>
        <v/>
      </c>
      <c r="CG153" s="5" t="str">
        <f>"10,00"</f>
        <v>10,00</v>
      </c>
      <c r="CH153" s="5" t="str">
        <f>"2036"</f>
        <v>2036</v>
      </c>
      <c r="CI153" s="5" t="str">
        <f>"10,00"</f>
        <v>10,00</v>
      </c>
      <c r="CJ153" s="5" t="str">
        <f>"2043"</f>
        <v>2043</v>
      </c>
    </row>
    <row r="154" spans="1:88" ht="11.25" customHeight="1">
      <c r="A154" s="3" t="str">
        <f>"1.141"</f>
        <v>1.141</v>
      </c>
      <c r="B154" s="4" t="str">
        <f>"г. Грязовец, ул. Ленина, д.23"</f>
        <v>г. Грязовец, ул. Ленина, д.23</v>
      </c>
      <c r="C154" s="7" t="str">
        <f>"1977"</f>
        <v>1977</v>
      </c>
      <c r="D154" s="5" t="str">
        <f>""</f>
        <v/>
      </c>
      <c r="E154" s="5" t="str">
        <f>"15,00"</f>
        <v>15,00</v>
      </c>
      <c r="F154" s="5" t="str">
        <f>"2035"</f>
        <v>2035</v>
      </c>
      <c r="G154" s="5" t="str">
        <f>"нет"</f>
        <v>нет</v>
      </c>
      <c r="H154" s="5" t="str">
        <f>""</f>
        <v/>
      </c>
      <c r="I154" s="5" t="str">
        <f>""</f>
        <v/>
      </c>
      <c r="J154" s="5" t="str">
        <f>""</f>
        <v/>
      </c>
      <c r="K154" s="5" t="str">
        <f>"нет"</f>
        <v>нет</v>
      </c>
      <c r="L154" s="5" t="str">
        <f>""</f>
        <v/>
      </c>
      <c r="M154" s="5" t="str">
        <f>""</f>
        <v/>
      </c>
      <c r="N154" s="5" t="str">
        <f>""</f>
        <v/>
      </c>
      <c r="O154" s="8" t="str">
        <f>""</f>
        <v/>
      </c>
      <c r="P154" s="5" t="str">
        <f>"20,00"</f>
        <v>20,00</v>
      </c>
      <c r="Q154" s="5" t="str">
        <f>"2032"</f>
        <v>2032</v>
      </c>
      <c r="R154" s="5" t="str">
        <f>"нет"</f>
        <v>нет</v>
      </c>
      <c r="S154" s="5" t="str">
        <f>""</f>
        <v/>
      </c>
      <c r="T154" s="5" t="str">
        <f>""</f>
        <v/>
      </c>
      <c r="U154" s="5" t="str">
        <f>""</f>
        <v/>
      </c>
      <c r="V154" s="5" t="str">
        <f>"нет"</f>
        <v>нет</v>
      </c>
      <c r="W154" s="5" t="str">
        <f>""</f>
        <v/>
      </c>
      <c r="X154" s="5" t="str">
        <f>""</f>
        <v/>
      </c>
      <c r="Y154" s="9" t="str">
        <f>""</f>
        <v/>
      </c>
      <c r="Z154" s="5" t="str">
        <f t="shared" ref="Z154:AJ154" si="233">"х"</f>
        <v>х</v>
      </c>
      <c r="AA154" s="5" t="str">
        <f t="shared" si="233"/>
        <v>х</v>
      </c>
      <c r="AB154" s="5" t="str">
        <f t="shared" si="233"/>
        <v>х</v>
      </c>
      <c r="AC154" s="5" t="str">
        <f t="shared" si="233"/>
        <v>х</v>
      </c>
      <c r="AD154" s="5" t="str">
        <f t="shared" si="233"/>
        <v>х</v>
      </c>
      <c r="AE154" s="5" t="str">
        <f t="shared" si="233"/>
        <v>х</v>
      </c>
      <c r="AF154" s="5" t="str">
        <f t="shared" si="233"/>
        <v>х</v>
      </c>
      <c r="AG154" s="5" t="str">
        <f t="shared" si="233"/>
        <v>х</v>
      </c>
      <c r="AH154" s="5" t="str">
        <f t="shared" si="233"/>
        <v>х</v>
      </c>
      <c r="AI154" s="5" t="str">
        <f t="shared" si="233"/>
        <v>х</v>
      </c>
      <c r="AJ154" s="5" t="str">
        <f t="shared" si="233"/>
        <v>х</v>
      </c>
      <c r="AK154" s="8" t="str">
        <f>""</f>
        <v/>
      </c>
      <c r="AL154" s="5" t="str">
        <f>"20,00"</f>
        <v>20,00</v>
      </c>
      <c r="AM154" s="5" t="str">
        <f>"2033"</f>
        <v>2033</v>
      </c>
      <c r="AN154" s="5" t="str">
        <f>"нет"</f>
        <v>нет</v>
      </c>
      <c r="AO154" s="5" t="str">
        <f>""</f>
        <v/>
      </c>
      <c r="AP154" s="5" t="str">
        <f>""</f>
        <v/>
      </c>
      <c r="AQ154" s="5" t="str">
        <f>""</f>
        <v/>
      </c>
      <c r="AR154" s="5" t="str">
        <f>"нет"</f>
        <v>нет</v>
      </c>
      <c r="AS154" s="5" t="str">
        <f>""</f>
        <v/>
      </c>
      <c r="AT154" s="5" t="str">
        <f>""</f>
        <v/>
      </c>
      <c r="AU154" s="5" t="str">
        <f>""</f>
        <v/>
      </c>
      <c r="AV154" s="5" t="str">
        <f>""</f>
        <v/>
      </c>
      <c r="AW154" s="5" t="str">
        <f>"10,00"</f>
        <v>10,00</v>
      </c>
      <c r="AX154" s="5" t="str">
        <f>"2034"</f>
        <v>2034</v>
      </c>
      <c r="AY154" s="5" t="str">
        <f>"нет"</f>
        <v>нет</v>
      </c>
      <c r="AZ154" s="5" t="str">
        <f>""</f>
        <v/>
      </c>
      <c r="BA154" s="5" t="str">
        <f>""</f>
        <v/>
      </c>
      <c r="BB154" s="5" t="str">
        <f>""</f>
        <v/>
      </c>
      <c r="BC154" s="5" t="str">
        <f>"нет"</f>
        <v>нет</v>
      </c>
      <c r="BD154" s="5" t="str">
        <f>""</f>
        <v/>
      </c>
      <c r="BE154" s="5" t="str">
        <f>""</f>
        <v/>
      </c>
      <c r="BF154" s="5" t="str">
        <f>""</f>
        <v/>
      </c>
      <c r="BG154" s="5" t="str">
        <f>""</f>
        <v/>
      </c>
      <c r="BH154" s="5" t="str">
        <f>"20,00"</f>
        <v>20,00</v>
      </c>
      <c r="BI154" s="5" t="str">
        <f>"2029"</f>
        <v>2029</v>
      </c>
      <c r="BJ154" s="5" t="str">
        <f>"нет"</f>
        <v>нет</v>
      </c>
      <c r="BK154" s="5" t="str">
        <f>""</f>
        <v/>
      </c>
      <c r="BL154" s="5" t="str">
        <f>""</f>
        <v/>
      </c>
      <c r="BM154" s="5" t="str">
        <f>""</f>
        <v/>
      </c>
      <c r="BN154" s="5" t="str">
        <f>"нет"</f>
        <v>нет</v>
      </c>
      <c r="BO154" s="5" t="str">
        <f>""</f>
        <v/>
      </c>
      <c r="BP154" s="5" t="str">
        <f>""</f>
        <v/>
      </c>
      <c r="BQ154" s="5" t="str">
        <f>""</f>
        <v/>
      </c>
      <c r="BR154" s="5" t="str">
        <f>""</f>
        <v/>
      </c>
      <c r="BS154" s="5" t="str">
        <f>"20,00"</f>
        <v>20,00</v>
      </c>
      <c r="BT154" s="5" t="str">
        <f>"2023"</f>
        <v>2023</v>
      </c>
      <c r="BU154" s="5" t="str">
        <f t="shared" si="223"/>
        <v>нет</v>
      </c>
      <c r="BV154" s="5" t="str">
        <f t="shared" ref="BV154:BX173" si="234">"x"</f>
        <v>x</v>
      </c>
      <c r="BW154" s="5" t="str">
        <f t="shared" si="234"/>
        <v>x</v>
      </c>
      <c r="BX154" s="5" t="str">
        <f t="shared" si="234"/>
        <v>x</v>
      </c>
      <c r="BY154" s="5" t="str">
        <f t="shared" si="221"/>
        <v>нет</v>
      </c>
      <c r="BZ154" s="5" t="str">
        <f t="shared" si="231"/>
        <v>x</v>
      </c>
      <c r="CA154" s="5" t="str">
        <f t="shared" si="231"/>
        <v>x</v>
      </c>
      <c r="CB154" s="5" t="str">
        <f t="shared" si="231"/>
        <v>x</v>
      </c>
      <c r="CC154" s="5" t="str">
        <f>""</f>
        <v/>
      </c>
      <c r="CD154" s="5" t="str">
        <f>"15,00"</f>
        <v>15,00</v>
      </c>
      <c r="CE154" s="5" t="str">
        <f>"2037"</f>
        <v>2037</v>
      </c>
      <c r="CF154" s="5" t="str">
        <f>""</f>
        <v/>
      </c>
      <c r="CG154" s="5" t="str">
        <f>"15,00"</f>
        <v>15,00</v>
      </c>
      <c r="CH154" s="5" t="str">
        <f>"2038"</f>
        <v>2038</v>
      </c>
      <c r="CI154" s="5" t="str">
        <f>"14,00"</f>
        <v>14,00</v>
      </c>
      <c r="CJ154" s="5" t="str">
        <f>"2044"</f>
        <v>2044</v>
      </c>
    </row>
    <row r="155" spans="1:88" ht="11.25" customHeight="1">
      <c r="A155" s="3" t="str">
        <f>"1.142"</f>
        <v>1.142</v>
      </c>
      <c r="B155" s="4" t="str">
        <f>"г. Грязовец, ул. Ленина, д.24"</f>
        <v>г. Грязовец, ул. Ленина, д.24</v>
      </c>
      <c r="C155" s="7" t="str">
        <f>"1954"</f>
        <v>1954</v>
      </c>
      <c r="D155" s="5" t="str">
        <f>""</f>
        <v/>
      </c>
      <c r="E155" s="5" t="str">
        <f>"45,00"</f>
        <v>45,00</v>
      </c>
      <c r="F155" s="5" t="str">
        <f>"2017"</f>
        <v>2017</v>
      </c>
      <c r="G155" s="5" t="str">
        <f>"нет"</f>
        <v>нет</v>
      </c>
      <c r="H155" s="5" t="str">
        <f>""</f>
        <v/>
      </c>
      <c r="I155" s="5" t="str">
        <f>""</f>
        <v/>
      </c>
      <c r="J155" s="5" t="str">
        <f>""</f>
        <v/>
      </c>
      <c r="K155" s="5" t="str">
        <f>"нет"</f>
        <v>нет</v>
      </c>
      <c r="L155" s="5" t="str">
        <f>""</f>
        <v/>
      </c>
      <c r="M155" s="5" t="str">
        <f>""</f>
        <v/>
      </c>
      <c r="N155" s="5" t="str">
        <f>""</f>
        <v/>
      </c>
      <c r="O155" s="8" t="str">
        <f>""</f>
        <v/>
      </c>
      <c r="P155" s="5" t="str">
        <f>""</f>
        <v/>
      </c>
      <c r="Q155" s="5" t="str">
        <f>""</f>
        <v/>
      </c>
      <c r="R155" s="5" t="str">
        <f>""</f>
        <v/>
      </c>
      <c r="S155" s="5" t="str">
        <f>""</f>
        <v/>
      </c>
      <c r="T155" s="5" t="str">
        <f>""</f>
        <v/>
      </c>
      <c r="U155" s="5" t="str">
        <f>""</f>
        <v/>
      </c>
      <c r="V155" s="5" t="str">
        <f>""</f>
        <v/>
      </c>
      <c r="W155" s="5" t="str">
        <f>""</f>
        <v/>
      </c>
      <c r="X155" s="5" t="str">
        <f>""</f>
        <v/>
      </c>
      <c r="Y155" s="9" t="str">
        <f>""</f>
        <v/>
      </c>
      <c r="Z155" s="5" t="str">
        <f>""</f>
        <v/>
      </c>
      <c r="AA155" s="5" t="str">
        <f>"30,00"</f>
        <v>30,00</v>
      </c>
      <c r="AB155" s="5" t="str">
        <f>"2024"</f>
        <v>2024</v>
      </c>
      <c r="AC155" s="5" t="str">
        <f t="shared" ref="AC155:AC160" si="235">"нет"</f>
        <v>нет</v>
      </c>
      <c r="AD155" s="5" t="str">
        <f>""</f>
        <v/>
      </c>
      <c r="AE155" s="5" t="str">
        <f>""</f>
        <v/>
      </c>
      <c r="AF155" s="5" t="str">
        <f>""</f>
        <v/>
      </c>
      <c r="AG155" s="5" t="str">
        <f t="shared" ref="AG155:AG160" si="236">"нет"</f>
        <v>нет</v>
      </c>
      <c r="AH155" s="5" t="str">
        <f>""</f>
        <v/>
      </c>
      <c r="AI155" s="5" t="str">
        <f>""</f>
        <v/>
      </c>
      <c r="AJ155" s="5" t="str">
        <f>""</f>
        <v/>
      </c>
      <c r="AK155" s="8" t="str">
        <f>""</f>
        <v/>
      </c>
      <c r="AL155" s="5" t="str">
        <f>"30,00"</f>
        <v>30,00</v>
      </c>
      <c r="AM155" s="5" t="str">
        <f>"2024"</f>
        <v>2024</v>
      </c>
      <c r="AN155" s="5" t="str">
        <f>"нет"</f>
        <v>нет</v>
      </c>
      <c r="AO155" s="5" t="str">
        <f>""</f>
        <v/>
      </c>
      <c r="AP155" s="5" t="str">
        <f>""</f>
        <v/>
      </c>
      <c r="AQ155" s="5" t="str">
        <f>""</f>
        <v/>
      </c>
      <c r="AR155" s="5" t="str">
        <f>"нет"</f>
        <v>нет</v>
      </c>
      <c r="AS155" s="5" t="str">
        <f>""</f>
        <v/>
      </c>
      <c r="AT155" s="5" t="str">
        <f>""</f>
        <v/>
      </c>
      <c r="AU155" s="5" t="str">
        <f>""</f>
        <v/>
      </c>
      <c r="AV155" s="5" t="str">
        <f>""</f>
        <v/>
      </c>
      <c r="AW155" s="5" t="str">
        <f>"45,00"</f>
        <v>45,00</v>
      </c>
      <c r="AX155" s="5" t="str">
        <f>"2020"</f>
        <v>2020</v>
      </c>
      <c r="AY155" s="5" t="str">
        <f>"нет"</f>
        <v>нет</v>
      </c>
      <c r="AZ155" s="5" t="str">
        <f>""</f>
        <v/>
      </c>
      <c r="BA155" s="5" t="str">
        <f>""</f>
        <v/>
      </c>
      <c r="BB155" s="5" t="str">
        <f>""</f>
        <v/>
      </c>
      <c r="BC155" s="5" t="str">
        <f>"нет"</f>
        <v>нет</v>
      </c>
      <c r="BD155" s="5" t="str">
        <f>""</f>
        <v/>
      </c>
      <c r="BE155" s="5" t="str">
        <f>""</f>
        <v/>
      </c>
      <c r="BF155" s="5" t="str">
        <f>""</f>
        <v/>
      </c>
      <c r="BG155" s="5" t="str">
        <f>""</f>
        <v/>
      </c>
      <c r="BH155" s="5" t="str">
        <f>"35,00"</f>
        <v>35,00</v>
      </c>
      <c r="BI155" s="5" t="str">
        <f>"2020"</f>
        <v>2020</v>
      </c>
      <c r="BJ155" s="5" t="str">
        <f>"нет"</f>
        <v>нет</v>
      </c>
      <c r="BK155" s="5" t="str">
        <f>""</f>
        <v/>
      </c>
      <c r="BL155" s="5" t="str">
        <f>""</f>
        <v/>
      </c>
      <c r="BM155" s="5" t="str">
        <f>""</f>
        <v/>
      </c>
      <c r="BN155" s="5" t="str">
        <f>"нет"</f>
        <v>нет</v>
      </c>
      <c r="BO155" s="5" t="str">
        <f>""</f>
        <v/>
      </c>
      <c r="BP155" s="5" t="str">
        <f>""</f>
        <v/>
      </c>
      <c r="BQ155" s="5" t="str">
        <f>""</f>
        <v/>
      </c>
      <c r="BR155" s="5" t="str">
        <f>""</f>
        <v/>
      </c>
      <c r="BS155" s="5" t="str">
        <f>"50,00"</f>
        <v>50,00</v>
      </c>
      <c r="BT155" s="5" t="str">
        <f>"2019"</f>
        <v>2019</v>
      </c>
      <c r="BU155" s="5" t="str">
        <f t="shared" si="223"/>
        <v>нет</v>
      </c>
      <c r="BV155" s="5" t="str">
        <f t="shared" si="234"/>
        <v>x</v>
      </c>
      <c r="BW155" s="5" t="str">
        <f t="shared" si="234"/>
        <v>x</v>
      </c>
      <c r="BX155" s="5" t="str">
        <f t="shared" si="234"/>
        <v>x</v>
      </c>
      <c r="BY155" s="5" t="str">
        <f t="shared" si="221"/>
        <v>нет</v>
      </c>
      <c r="BZ155" s="5" t="str">
        <f t="shared" si="231"/>
        <v>x</v>
      </c>
      <c r="CA155" s="5" t="str">
        <f t="shared" si="231"/>
        <v>x</v>
      </c>
      <c r="CB155" s="5" t="str">
        <f t="shared" si="231"/>
        <v>x</v>
      </c>
      <c r="CC155" s="5" t="str">
        <f>""</f>
        <v/>
      </c>
      <c r="CD155" s="5" t="str">
        <f>"30,00"</f>
        <v>30,00</v>
      </c>
      <c r="CE155" s="5" t="str">
        <f>"2021"</f>
        <v>2021</v>
      </c>
      <c r="CF155" s="5" t="str">
        <f>""</f>
        <v/>
      </c>
      <c r="CG155" s="5" t="str">
        <f>"25,00"</f>
        <v>25,00</v>
      </c>
      <c r="CH155" s="5" t="str">
        <f>"2023"</f>
        <v>2023</v>
      </c>
      <c r="CI155" s="5" t="str">
        <f>"53,00"</f>
        <v>53,00</v>
      </c>
      <c r="CJ155" s="5" t="str">
        <f>"2026"</f>
        <v>2026</v>
      </c>
    </row>
    <row r="156" spans="1:88" ht="11.25" customHeight="1">
      <c r="A156" s="3" t="str">
        <f>"1.143"</f>
        <v>1.143</v>
      </c>
      <c r="B156" s="4" t="str">
        <f>"г. Грязовец, ул. Ленина, д.26"</f>
        <v>г. Грязовец, ул. Ленина, д.26</v>
      </c>
      <c r="C156" s="7" t="str">
        <f>"1890"</f>
        <v>1890</v>
      </c>
      <c r="D156" s="5" t="str">
        <f>"1990"</f>
        <v>1990</v>
      </c>
      <c r="E156" s="5" t="str">
        <f>"60,00"</f>
        <v>60,00</v>
      </c>
      <c r="F156" s="5" t="str">
        <f>"2020"</f>
        <v>2020</v>
      </c>
      <c r="G156" s="5" t="str">
        <f>"да"</f>
        <v>да</v>
      </c>
      <c r="H156" s="5" t="str">
        <f>"1990"</f>
        <v>1990</v>
      </c>
      <c r="I156" s="5" t="str">
        <f>"60,00"</f>
        <v>60,00</v>
      </c>
      <c r="J156" s="5" t="str">
        <f>"2020"</f>
        <v>2020</v>
      </c>
      <c r="K156" s="5" t="str">
        <f>"да"</f>
        <v>да</v>
      </c>
      <c r="L156" s="5" t="str">
        <f>"1990"</f>
        <v>1990</v>
      </c>
      <c r="M156" s="5" t="str">
        <f>"60,00"</f>
        <v>60,00</v>
      </c>
      <c r="N156" s="5" t="str">
        <f>"2020"</f>
        <v>2020</v>
      </c>
      <c r="O156" s="8" t="str">
        <f>"1990"</f>
        <v>1990</v>
      </c>
      <c r="P156" s="5" t="str">
        <f>"55,00"</f>
        <v>55,00</v>
      </c>
      <c r="Q156" s="5" t="str">
        <f>"2020"</f>
        <v>2020</v>
      </c>
      <c r="R156" s="5" t="str">
        <f>"нет"</f>
        <v>нет</v>
      </c>
      <c r="S156" s="5" t="str">
        <f>""</f>
        <v/>
      </c>
      <c r="T156" s="5" t="str">
        <f>""</f>
        <v/>
      </c>
      <c r="U156" s="5" t="str">
        <f>""</f>
        <v/>
      </c>
      <c r="V156" s="5" t="str">
        <f>"нет"</f>
        <v>нет</v>
      </c>
      <c r="W156" s="5" t="str">
        <f>""</f>
        <v/>
      </c>
      <c r="X156" s="5" t="str">
        <f>""</f>
        <v/>
      </c>
      <c r="Y156" s="9" t="str">
        <f>""</f>
        <v/>
      </c>
      <c r="Z156" s="5" t="str">
        <f>"1990"</f>
        <v>1990</v>
      </c>
      <c r="AA156" s="5" t="str">
        <f>"55,00"</f>
        <v>55,00</v>
      </c>
      <c r="AB156" s="5" t="str">
        <f>"2020"</f>
        <v>2020</v>
      </c>
      <c r="AC156" s="5" t="str">
        <f t="shared" si="235"/>
        <v>нет</v>
      </c>
      <c r="AD156" s="5" t="str">
        <f>""</f>
        <v/>
      </c>
      <c r="AE156" s="5" t="str">
        <f>""</f>
        <v/>
      </c>
      <c r="AF156" s="5" t="str">
        <f>""</f>
        <v/>
      </c>
      <c r="AG156" s="5" t="str">
        <f t="shared" si="236"/>
        <v>нет</v>
      </c>
      <c r="AH156" s="5" t="str">
        <f>""</f>
        <v/>
      </c>
      <c r="AI156" s="5" t="str">
        <f>""</f>
        <v/>
      </c>
      <c r="AJ156" s="5" t="str">
        <f>""</f>
        <v/>
      </c>
      <c r="AK156" s="8" t="str">
        <f>"1990"</f>
        <v>1990</v>
      </c>
      <c r="AL156" s="5" t="str">
        <f>"65,00"</f>
        <v>65,00</v>
      </c>
      <c r="AM156" s="5" t="str">
        <f>"2020"</f>
        <v>2020</v>
      </c>
      <c r="AN156" s="5" t="str">
        <f>"нет"</f>
        <v>нет</v>
      </c>
      <c r="AO156" s="5" t="str">
        <f>"х"</f>
        <v>х</v>
      </c>
      <c r="AP156" s="5" t="str">
        <f>"х"</f>
        <v>х</v>
      </c>
      <c r="AQ156" s="5" t="str">
        <f>"х"</f>
        <v>х</v>
      </c>
      <c r="AR156" s="5" t="str">
        <f>"нет"</f>
        <v>нет</v>
      </c>
      <c r="AS156" s="5" t="str">
        <f t="shared" ref="AS156:BF156" si="237">"х"</f>
        <v>х</v>
      </c>
      <c r="AT156" s="5" t="str">
        <f t="shared" si="237"/>
        <v>х</v>
      </c>
      <c r="AU156" s="5" t="str">
        <f t="shared" si="237"/>
        <v>х</v>
      </c>
      <c r="AV156" s="5" t="str">
        <f t="shared" si="237"/>
        <v>х</v>
      </c>
      <c r="AW156" s="5" t="str">
        <f t="shared" si="237"/>
        <v>х</v>
      </c>
      <c r="AX156" s="5" t="str">
        <f t="shared" si="237"/>
        <v>х</v>
      </c>
      <c r="AY156" s="5" t="str">
        <f t="shared" si="237"/>
        <v>х</v>
      </c>
      <c r="AZ156" s="5" t="str">
        <f t="shared" si="237"/>
        <v>х</v>
      </c>
      <c r="BA156" s="5" t="str">
        <f t="shared" si="237"/>
        <v>х</v>
      </c>
      <c r="BB156" s="5" t="str">
        <f t="shared" si="237"/>
        <v>х</v>
      </c>
      <c r="BC156" s="5" t="str">
        <f t="shared" si="237"/>
        <v>х</v>
      </c>
      <c r="BD156" s="5" t="str">
        <f t="shared" si="237"/>
        <v>х</v>
      </c>
      <c r="BE156" s="5" t="str">
        <f t="shared" si="237"/>
        <v>х</v>
      </c>
      <c r="BF156" s="5" t="str">
        <f t="shared" si="237"/>
        <v>х</v>
      </c>
      <c r="BG156" s="5" t="str">
        <f>"1990"</f>
        <v>1990</v>
      </c>
      <c r="BH156" s="5" t="str">
        <f>"65,00"</f>
        <v>65,00</v>
      </c>
      <c r="BI156" s="5" t="str">
        <f>"2020"</f>
        <v>2020</v>
      </c>
      <c r="BJ156" s="5" t="str">
        <f>"нет"</f>
        <v>нет</v>
      </c>
      <c r="BK156" s="5" t="str">
        <f>"х"</f>
        <v>х</v>
      </c>
      <c r="BL156" s="5" t="str">
        <f>"х"</f>
        <v>х</v>
      </c>
      <c r="BM156" s="5" t="str">
        <f>"х"</f>
        <v>х</v>
      </c>
      <c r="BN156" s="5" t="str">
        <f>"нет"</f>
        <v>нет</v>
      </c>
      <c r="BO156" s="5" t="str">
        <f>"х"</f>
        <v>х</v>
      </c>
      <c r="BP156" s="5" t="str">
        <f>"х"</f>
        <v>х</v>
      </c>
      <c r="BQ156" s="5" t="str">
        <f>"х"</f>
        <v>х</v>
      </c>
      <c r="BR156" s="5" t="str">
        <f>"1990"</f>
        <v>1990</v>
      </c>
      <c r="BS156" s="5" t="str">
        <f>"60,00"</f>
        <v>60,00</v>
      </c>
      <c r="BT156" s="5" t="str">
        <f>"2020"</f>
        <v>2020</v>
      </c>
      <c r="BU156" s="5" t="str">
        <f t="shared" si="223"/>
        <v>нет</v>
      </c>
      <c r="BV156" s="5" t="str">
        <f t="shared" si="234"/>
        <v>x</v>
      </c>
      <c r="BW156" s="5" t="str">
        <f t="shared" si="234"/>
        <v>x</v>
      </c>
      <c r="BX156" s="5" t="str">
        <f t="shared" si="234"/>
        <v>x</v>
      </c>
      <c r="BY156" s="5" t="str">
        <f t="shared" si="221"/>
        <v>нет</v>
      </c>
      <c r="BZ156" s="5" t="str">
        <f>"1990"</f>
        <v>1990</v>
      </c>
      <c r="CA156" s="5" t="str">
        <f>"55,00"</f>
        <v>55,00</v>
      </c>
      <c r="CB156" s="5" t="str">
        <f>"2020"</f>
        <v>2020</v>
      </c>
      <c r="CC156" s="5" t="str">
        <f>"1990"</f>
        <v>1990</v>
      </c>
      <c r="CD156" s="5" t="str">
        <f>"60,00"</f>
        <v>60,00</v>
      </c>
      <c r="CE156" s="5" t="str">
        <f>"2020"</f>
        <v>2020</v>
      </c>
      <c r="CF156" s="5" t="str">
        <f>"1990"</f>
        <v>1990</v>
      </c>
      <c r="CG156" s="5" t="str">
        <f>"60,00"</f>
        <v>60,00</v>
      </c>
      <c r="CH156" s="5" t="str">
        <f>"2020"</f>
        <v>2020</v>
      </c>
      <c r="CI156" s="5" t="str">
        <f>"54,00"</f>
        <v>54,00</v>
      </c>
      <c r="CJ156" s="5" t="str">
        <f>"2025"</f>
        <v>2025</v>
      </c>
    </row>
    <row r="157" spans="1:88" ht="11.25" customHeight="1">
      <c r="A157" s="3" t="str">
        <f>"1.144"</f>
        <v>1.144</v>
      </c>
      <c r="B157" s="4" t="str">
        <f>"г. Грязовец, ул. Ленина, д.30"</f>
        <v>г. Грязовец, ул. Ленина, д.30</v>
      </c>
      <c r="C157" s="7" t="str">
        <f>"1998"</f>
        <v>1998</v>
      </c>
      <c r="D157" s="5" t="str">
        <f>"1998"</f>
        <v>1998</v>
      </c>
      <c r="E157" s="5" t="str">
        <f>"15,00"</f>
        <v>15,00</v>
      </c>
      <c r="F157" s="5" t="str">
        <f>"2035"</f>
        <v>2035</v>
      </c>
      <c r="G157" s="5" t="str">
        <f>"да"</f>
        <v>да</v>
      </c>
      <c r="H157" s="5" t="str">
        <f>"1998"</f>
        <v>1998</v>
      </c>
      <c r="I157" s="5" t="str">
        <f>"15,00"</f>
        <v>15,00</v>
      </c>
      <c r="J157" s="5" t="str">
        <f>"2035"</f>
        <v>2035</v>
      </c>
      <c r="K157" s="5" t="str">
        <f>"да"</f>
        <v>да</v>
      </c>
      <c r="L157" s="5" t="str">
        <f>"1998"</f>
        <v>1998</v>
      </c>
      <c r="M157" s="5" t="str">
        <f>"15,00"</f>
        <v>15,00</v>
      </c>
      <c r="N157" s="5" t="str">
        <f>"2035"</f>
        <v>2035</v>
      </c>
      <c r="O157" s="8" t="str">
        <f>"1998"</f>
        <v>1998</v>
      </c>
      <c r="P157" s="5" t="str">
        <f>"15,00"</f>
        <v>15,00</v>
      </c>
      <c r="Q157" s="5" t="str">
        <f>"2035"</f>
        <v>2035</v>
      </c>
      <c r="R157" s="5" t="str">
        <f>"нет"</f>
        <v>нет</v>
      </c>
      <c r="S157" s="5" t="str">
        <f>""</f>
        <v/>
      </c>
      <c r="T157" s="5" t="str">
        <f>""</f>
        <v/>
      </c>
      <c r="U157" s="5" t="str">
        <f>""</f>
        <v/>
      </c>
      <c r="V157" s="5" t="str">
        <f>"нет"</f>
        <v>нет</v>
      </c>
      <c r="W157" s="5" t="str">
        <f>""</f>
        <v/>
      </c>
      <c r="X157" s="5" t="str">
        <f>""</f>
        <v/>
      </c>
      <c r="Y157" s="9" t="str">
        <f>""</f>
        <v/>
      </c>
      <c r="Z157" s="5" t="str">
        <f>"1998"</f>
        <v>1998</v>
      </c>
      <c r="AA157" s="5" t="str">
        <f>"10,00"</f>
        <v>10,00</v>
      </c>
      <c r="AB157" s="5" t="str">
        <f>"2035"</f>
        <v>2035</v>
      </c>
      <c r="AC157" s="5" t="str">
        <f t="shared" si="235"/>
        <v>нет</v>
      </c>
      <c r="AD157" s="5" t="str">
        <f>""</f>
        <v/>
      </c>
      <c r="AE157" s="5" t="str">
        <f>""</f>
        <v/>
      </c>
      <c r="AF157" s="5" t="str">
        <f>""</f>
        <v/>
      </c>
      <c r="AG157" s="5" t="str">
        <f t="shared" si="236"/>
        <v>нет</v>
      </c>
      <c r="AH157" s="5" t="str">
        <f>""</f>
        <v/>
      </c>
      <c r="AI157" s="5" t="str">
        <f>""</f>
        <v/>
      </c>
      <c r="AJ157" s="5" t="str">
        <f>""</f>
        <v/>
      </c>
      <c r="AK157" s="8" t="str">
        <f>"1998"</f>
        <v>1998</v>
      </c>
      <c r="AL157" s="5" t="str">
        <f>"18,00"</f>
        <v>18,00</v>
      </c>
      <c r="AM157" s="5" t="str">
        <f>"2035"</f>
        <v>2035</v>
      </c>
      <c r="AN157" s="5" t="str">
        <f>"нет"</f>
        <v>нет</v>
      </c>
      <c r="AO157" s="5" t="str">
        <f>""</f>
        <v/>
      </c>
      <c r="AP157" s="5" t="str">
        <f>""</f>
        <v/>
      </c>
      <c r="AQ157" s="5" t="str">
        <f>""</f>
        <v/>
      </c>
      <c r="AR157" s="5" t="str">
        <f>"нет"</f>
        <v>нет</v>
      </c>
      <c r="AS157" s="5" t="str">
        <f>""</f>
        <v/>
      </c>
      <c r="AT157" s="5" t="str">
        <f>""</f>
        <v/>
      </c>
      <c r="AU157" s="5" t="str">
        <f>""</f>
        <v/>
      </c>
      <c r="AV157" s="5" t="str">
        <f>"1998"</f>
        <v>1998</v>
      </c>
      <c r="AW157" s="5" t="str">
        <f>"18,00"</f>
        <v>18,00</v>
      </c>
      <c r="AX157" s="5" t="str">
        <f>"2035"</f>
        <v>2035</v>
      </c>
      <c r="AY157" s="5" t="str">
        <f>"нет"</f>
        <v>нет</v>
      </c>
      <c r="AZ157" s="5" t="str">
        <f>""</f>
        <v/>
      </c>
      <c r="BA157" s="5" t="str">
        <f>""</f>
        <v/>
      </c>
      <c r="BB157" s="5" t="str">
        <f>""</f>
        <v/>
      </c>
      <c r="BC157" s="5" t="str">
        <f>"нет"</f>
        <v>нет</v>
      </c>
      <c r="BD157" s="5" t="str">
        <f>""</f>
        <v/>
      </c>
      <c r="BE157" s="5" t="str">
        <f>""</f>
        <v/>
      </c>
      <c r="BF157" s="5" t="str">
        <f>""</f>
        <v/>
      </c>
      <c r="BG157" s="5" t="str">
        <f>"1998"</f>
        <v>1998</v>
      </c>
      <c r="BH157" s="5" t="str">
        <f>"15,00"</f>
        <v>15,00</v>
      </c>
      <c r="BI157" s="5" t="str">
        <f>"2035"</f>
        <v>2035</v>
      </c>
      <c r="BJ157" s="5" t="str">
        <f>"нет"</f>
        <v>нет</v>
      </c>
      <c r="BK157" s="5" t="str">
        <f>""</f>
        <v/>
      </c>
      <c r="BL157" s="5" t="str">
        <f>""</f>
        <v/>
      </c>
      <c r="BM157" s="5" t="str">
        <f>""</f>
        <v/>
      </c>
      <c r="BN157" s="5" t="str">
        <f>"нет"</f>
        <v>нет</v>
      </c>
      <c r="BO157" s="5" t="str">
        <f>""</f>
        <v/>
      </c>
      <c r="BP157" s="5" t="str">
        <f>""</f>
        <v/>
      </c>
      <c r="BQ157" s="5" t="str">
        <f>""</f>
        <v/>
      </c>
      <c r="BR157" s="5" t="str">
        <f>"1998"</f>
        <v>1998</v>
      </c>
      <c r="BS157" s="5" t="str">
        <f>"15,00"</f>
        <v>15,00</v>
      </c>
      <c r="BT157" s="5" t="str">
        <f>"2035"</f>
        <v>2035</v>
      </c>
      <c r="BU157" s="5" t="str">
        <f t="shared" si="223"/>
        <v>нет</v>
      </c>
      <c r="BV157" s="5" t="str">
        <f t="shared" si="234"/>
        <v>x</v>
      </c>
      <c r="BW157" s="5" t="str">
        <f t="shared" si="234"/>
        <v>x</v>
      </c>
      <c r="BX157" s="5" t="str">
        <f t="shared" si="234"/>
        <v>x</v>
      </c>
      <c r="BY157" s="5" t="str">
        <f t="shared" si="221"/>
        <v>нет</v>
      </c>
      <c r="BZ157" s="5" t="str">
        <f>"1998"</f>
        <v>1998</v>
      </c>
      <c r="CA157" s="5" t="str">
        <f>"11,00"</f>
        <v>11,00</v>
      </c>
      <c r="CB157" s="5" t="str">
        <f>"2035"</f>
        <v>2035</v>
      </c>
      <c r="CC157" s="5" t="str">
        <f>"1998"</f>
        <v>1998</v>
      </c>
      <c r="CD157" s="5" t="str">
        <f>"11,00"</f>
        <v>11,00</v>
      </c>
      <c r="CE157" s="5" t="str">
        <f>"2035"</f>
        <v>2035</v>
      </c>
      <c r="CF157" s="5" t="str">
        <f>"1998"</f>
        <v>1998</v>
      </c>
      <c r="CG157" s="5" t="str">
        <f>"11,00"</f>
        <v>11,00</v>
      </c>
      <c r="CH157" s="5" t="str">
        <f>"2035"</f>
        <v>2035</v>
      </c>
      <c r="CI157" s="5" t="str">
        <f>"11,00"</f>
        <v>11,00</v>
      </c>
      <c r="CJ157" s="5" t="str">
        <f>"2038"</f>
        <v>2038</v>
      </c>
    </row>
    <row r="158" spans="1:88" ht="11.25" customHeight="1">
      <c r="A158" s="3" t="str">
        <f>"1.145"</f>
        <v>1.145</v>
      </c>
      <c r="B158" s="4" t="str">
        <f>"г. Грязовец, ул. Ленина, д.32"</f>
        <v>г. Грязовец, ул. Ленина, д.32</v>
      </c>
      <c r="C158" s="7" t="str">
        <f>"1917"</f>
        <v>1917</v>
      </c>
      <c r="D158" s="5" t="str">
        <f>"1980"</f>
        <v>1980</v>
      </c>
      <c r="E158" s="5" t="str">
        <f>"70,00"</f>
        <v>70,00</v>
      </c>
      <c r="F158" s="5" t="str">
        <f>"2019"</f>
        <v>2019</v>
      </c>
      <c r="G158" s="5" t="str">
        <f>"да"</f>
        <v>да</v>
      </c>
      <c r="H158" s="5" t="str">
        <f>"1980"</f>
        <v>1980</v>
      </c>
      <c r="I158" s="5" t="str">
        <f>"70,00"</f>
        <v>70,00</v>
      </c>
      <c r="J158" s="5" t="str">
        <f>"2019"</f>
        <v>2019</v>
      </c>
      <c r="K158" s="5" t="str">
        <f>"да"</f>
        <v>да</v>
      </c>
      <c r="L158" s="5" t="str">
        <f>"1980"</f>
        <v>1980</v>
      </c>
      <c r="M158" s="5" t="str">
        <f>"70,00"</f>
        <v>70,00</v>
      </c>
      <c r="N158" s="5" t="str">
        <f>"2019"</f>
        <v>2019</v>
      </c>
      <c r="O158" s="8" t="str">
        <f t="shared" ref="O158:Y158" si="238">"х"</f>
        <v>х</v>
      </c>
      <c r="P158" s="5" t="str">
        <f t="shared" si="238"/>
        <v>х</v>
      </c>
      <c r="Q158" s="5" t="str">
        <f t="shared" si="238"/>
        <v>х</v>
      </c>
      <c r="R158" s="5" t="str">
        <f t="shared" si="238"/>
        <v>х</v>
      </c>
      <c r="S158" s="5" t="str">
        <f t="shared" si="238"/>
        <v>х</v>
      </c>
      <c r="T158" s="5" t="str">
        <f t="shared" si="238"/>
        <v>х</v>
      </c>
      <c r="U158" s="5" t="str">
        <f t="shared" si="238"/>
        <v>х</v>
      </c>
      <c r="V158" s="5" t="str">
        <f t="shared" si="238"/>
        <v>х</v>
      </c>
      <c r="W158" s="5" t="str">
        <f t="shared" si="238"/>
        <v>х</v>
      </c>
      <c r="X158" s="5" t="str">
        <f t="shared" si="238"/>
        <v>х</v>
      </c>
      <c r="Y158" s="9" t="str">
        <f t="shared" si="238"/>
        <v>х</v>
      </c>
      <c r="Z158" s="5" t="str">
        <f>"1980"</f>
        <v>1980</v>
      </c>
      <c r="AA158" s="5" t="str">
        <f>"70,00"</f>
        <v>70,00</v>
      </c>
      <c r="AB158" s="5" t="str">
        <f>"2019"</f>
        <v>2019</v>
      </c>
      <c r="AC158" s="5" t="str">
        <f t="shared" si="235"/>
        <v>нет</v>
      </c>
      <c r="AD158" s="5" t="str">
        <f>""</f>
        <v/>
      </c>
      <c r="AE158" s="5" t="str">
        <f>""</f>
        <v/>
      </c>
      <c r="AF158" s="5" t="str">
        <f>""</f>
        <v/>
      </c>
      <c r="AG158" s="5" t="str">
        <f t="shared" si="236"/>
        <v>нет</v>
      </c>
      <c r="AH158" s="5" t="str">
        <f>""</f>
        <v/>
      </c>
      <c r="AI158" s="5" t="str">
        <f>""</f>
        <v/>
      </c>
      <c r="AJ158" s="5" t="str">
        <f>""</f>
        <v/>
      </c>
      <c r="AK158" s="8" t="str">
        <f>"1980"</f>
        <v>1980</v>
      </c>
      <c r="AL158" s="5" t="str">
        <f>"70,00"</f>
        <v>70,00</v>
      </c>
      <c r="AM158" s="5" t="str">
        <f>"2019"</f>
        <v>2019</v>
      </c>
      <c r="AN158" s="5" t="str">
        <f>"нет"</f>
        <v>нет</v>
      </c>
      <c r="AO158" s="5" t="str">
        <f t="shared" ref="AO158:AQ160" si="239">"х"</f>
        <v>х</v>
      </c>
      <c r="AP158" s="5" t="str">
        <f t="shared" si="239"/>
        <v>х</v>
      </c>
      <c r="AQ158" s="5" t="str">
        <f t="shared" si="239"/>
        <v>х</v>
      </c>
      <c r="AR158" s="5" t="str">
        <f>"нет"</f>
        <v>нет</v>
      </c>
      <c r="AS158" s="5" t="str">
        <f t="shared" ref="AS158:BB160" si="240">"х"</f>
        <v>х</v>
      </c>
      <c r="AT158" s="5" t="str">
        <f t="shared" si="240"/>
        <v>х</v>
      </c>
      <c r="AU158" s="5" t="str">
        <f t="shared" si="240"/>
        <v>х</v>
      </c>
      <c r="AV158" s="5" t="str">
        <f t="shared" si="240"/>
        <v>х</v>
      </c>
      <c r="AW158" s="5" t="str">
        <f t="shared" si="240"/>
        <v>х</v>
      </c>
      <c r="AX158" s="5" t="str">
        <f t="shared" si="240"/>
        <v>х</v>
      </c>
      <c r="AY158" s="5" t="str">
        <f t="shared" si="240"/>
        <v>х</v>
      </c>
      <c r="AZ158" s="5" t="str">
        <f t="shared" si="240"/>
        <v>х</v>
      </c>
      <c r="BA158" s="5" t="str">
        <f t="shared" si="240"/>
        <v>х</v>
      </c>
      <c r="BB158" s="5" t="str">
        <f t="shared" si="240"/>
        <v>х</v>
      </c>
      <c r="BC158" s="5" t="str">
        <f t="shared" ref="BC158:BQ160" si="241">"х"</f>
        <v>х</v>
      </c>
      <c r="BD158" s="5" t="str">
        <f t="shared" si="241"/>
        <v>х</v>
      </c>
      <c r="BE158" s="5" t="str">
        <f t="shared" si="241"/>
        <v>х</v>
      </c>
      <c r="BF158" s="5" t="str">
        <f t="shared" si="241"/>
        <v>х</v>
      </c>
      <c r="BG158" s="5" t="str">
        <f t="shared" si="241"/>
        <v>х</v>
      </c>
      <c r="BH158" s="5" t="str">
        <f t="shared" si="241"/>
        <v>х</v>
      </c>
      <c r="BI158" s="5" t="str">
        <f t="shared" si="241"/>
        <v>х</v>
      </c>
      <c r="BJ158" s="5" t="str">
        <f t="shared" si="241"/>
        <v>х</v>
      </c>
      <c r="BK158" s="5" t="str">
        <f t="shared" si="241"/>
        <v>х</v>
      </c>
      <c r="BL158" s="5" t="str">
        <f t="shared" si="241"/>
        <v>х</v>
      </c>
      <c r="BM158" s="5" t="str">
        <f t="shared" si="241"/>
        <v>х</v>
      </c>
      <c r="BN158" s="5" t="str">
        <f t="shared" si="241"/>
        <v>х</v>
      </c>
      <c r="BO158" s="5" t="str">
        <f t="shared" si="241"/>
        <v>х</v>
      </c>
      <c r="BP158" s="5" t="str">
        <f t="shared" si="241"/>
        <v>х</v>
      </c>
      <c r="BQ158" s="5" t="str">
        <f t="shared" si="241"/>
        <v>х</v>
      </c>
      <c r="BR158" s="5" t="str">
        <f>"1980"</f>
        <v>1980</v>
      </c>
      <c r="BS158" s="5" t="str">
        <f>"70,00"</f>
        <v>70,00</v>
      </c>
      <c r="BT158" s="5" t="str">
        <f>"2019"</f>
        <v>2019</v>
      </c>
      <c r="BU158" s="5" t="str">
        <f t="shared" si="223"/>
        <v>нет</v>
      </c>
      <c r="BV158" s="5" t="str">
        <f t="shared" si="234"/>
        <v>x</v>
      </c>
      <c r="BW158" s="5" t="str">
        <f t="shared" si="234"/>
        <v>x</v>
      </c>
      <c r="BX158" s="5" t="str">
        <f t="shared" si="234"/>
        <v>x</v>
      </c>
      <c r="BY158" s="5" t="str">
        <f t="shared" si="221"/>
        <v>нет</v>
      </c>
      <c r="BZ158" s="5" t="str">
        <f t="shared" ref="BZ158:CB161" si="242">"x"</f>
        <v>x</v>
      </c>
      <c r="CA158" s="5" t="str">
        <f t="shared" si="242"/>
        <v>x</v>
      </c>
      <c r="CB158" s="5" t="str">
        <f t="shared" si="242"/>
        <v>x</v>
      </c>
      <c r="CC158" s="5" t="str">
        <f>"1980"</f>
        <v>1980</v>
      </c>
      <c r="CD158" s="5" t="str">
        <f>"70,00"</f>
        <v>70,00</v>
      </c>
      <c r="CE158" s="5" t="str">
        <f>"2019"</f>
        <v>2019</v>
      </c>
      <c r="CF158" s="5" t="str">
        <f>"1980"</f>
        <v>1980</v>
      </c>
      <c r="CG158" s="5" t="str">
        <f>"70,00"</f>
        <v>70,00</v>
      </c>
      <c r="CH158" s="5" t="str">
        <f>"2019"</f>
        <v>2019</v>
      </c>
      <c r="CI158" s="5" t="str">
        <f>"61,00"</f>
        <v>61,00</v>
      </c>
      <c r="CJ158" s="5" t="str">
        <f>"2019"</f>
        <v>2019</v>
      </c>
    </row>
    <row r="159" spans="1:88" ht="11.25" customHeight="1">
      <c r="A159" s="3" t="str">
        <f>"1.146"</f>
        <v>1.146</v>
      </c>
      <c r="B159" s="4" t="str">
        <f>"г. Грязовец, ул. Ленина, д.33"</f>
        <v>г. Грязовец, ул. Ленина, д.33</v>
      </c>
      <c r="C159" s="7" t="str">
        <f>"1917"</f>
        <v>1917</v>
      </c>
      <c r="D159" s="5" t="str">
        <f>""</f>
        <v/>
      </c>
      <c r="E159" s="5" t="str">
        <f>"25,00"</f>
        <v>25,00</v>
      </c>
      <c r="F159" s="5" t="str">
        <f>"2030"</f>
        <v>2030</v>
      </c>
      <c r="G159" s="5" t="str">
        <f>"нет"</f>
        <v>нет</v>
      </c>
      <c r="H159" s="5" t="str">
        <f>""</f>
        <v/>
      </c>
      <c r="I159" s="5" t="str">
        <f>""</f>
        <v/>
      </c>
      <c r="J159" s="5" t="str">
        <f>""</f>
        <v/>
      </c>
      <c r="K159" s="5" t="str">
        <f>"нет"</f>
        <v>нет</v>
      </c>
      <c r="L159" s="5" t="str">
        <f>""</f>
        <v/>
      </c>
      <c r="M159" s="5" t="str">
        <f>""</f>
        <v/>
      </c>
      <c r="N159" s="5" t="str">
        <f>""</f>
        <v/>
      </c>
      <c r="O159" s="8" t="str">
        <f>""</f>
        <v/>
      </c>
      <c r="P159" s="5" t="str">
        <f>""</f>
        <v/>
      </c>
      <c r="Q159" s="5" t="str">
        <f>""</f>
        <v/>
      </c>
      <c r="R159" s="5" t="str">
        <f>""</f>
        <v/>
      </c>
      <c r="S159" s="5" t="str">
        <f>""</f>
        <v/>
      </c>
      <c r="T159" s="5" t="str">
        <f>""</f>
        <v/>
      </c>
      <c r="U159" s="5" t="str">
        <f>""</f>
        <v/>
      </c>
      <c r="V159" s="5" t="str">
        <f>""</f>
        <v/>
      </c>
      <c r="W159" s="5" t="str">
        <f>""</f>
        <v/>
      </c>
      <c r="X159" s="5" t="str">
        <f>""</f>
        <v/>
      </c>
      <c r="Y159" s="9" t="str">
        <f>""</f>
        <v/>
      </c>
      <c r="Z159" s="5" t="str">
        <f>""</f>
        <v/>
      </c>
      <c r="AA159" s="5" t="str">
        <f>"20,00"</f>
        <v>20,00</v>
      </c>
      <c r="AB159" s="5" t="str">
        <f>"2032"</f>
        <v>2032</v>
      </c>
      <c r="AC159" s="5" t="str">
        <f t="shared" si="235"/>
        <v>нет</v>
      </c>
      <c r="AD159" s="5" t="str">
        <f>""</f>
        <v/>
      </c>
      <c r="AE159" s="5" t="str">
        <f>""</f>
        <v/>
      </c>
      <c r="AF159" s="5" t="str">
        <f>""</f>
        <v/>
      </c>
      <c r="AG159" s="5" t="str">
        <f t="shared" si="236"/>
        <v>нет</v>
      </c>
      <c r="AH159" s="5" t="str">
        <f>""</f>
        <v/>
      </c>
      <c r="AI159" s="5" t="str">
        <f>""</f>
        <v/>
      </c>
      <c r="AJ159" s="5" t="str">
        <f>""</f>
        <v/>
      </c>
      <c r="AK159" s="8" t="str">
        <f>"х"</f>
        <v>х</v>
      </c>
      <c r="AL159" s="5" t="str">
        <f>"х"</f>
        <v>х</v>
      </c>
      <c r="AM159" s="5" t="str">
        <f>"х"</f>
        <v>х</v>
      </c>
      <c r="AN159" s="5" t="str">
        <f>"х"</f>
        <v>х</v>
      </c>
      <c r="AO159" s="5" t="str">
        <f t="shared" si="239"/>
        <v>х</v>
      </c>
      <c r="AP159" s="5" t="str">
        <f t="shared" si="239"/>
        <v>х</v>
      </c>
      <c r="AQ159" s="5" t="str">
        <f t="shared" si="239"/>
        <v>х</v>
      </c>
      <c r="AR159" s="5" t="str">
        <f>"х"</f>
        <v>х</v>
      </c>
      <c r="AS159" s="5" t="str">
        <f t="shared" si="240"/>
        <v>х</v>
      </c>
      <c r="AT159" s="5" t="str">
        <f t="shared" si="240"/>
        <v>х</v>
      </c>
      <c r="AU159" s="5" t="str">
        <f t="shared" si="240"/>
        <v>х</v>
      </c>
      <c r="AV159" s="5" t="str">
        <f t="shared" si="240"/>
        <v>х</v>
      </c>
      <c r="AW159" s="5" t="str">
        <f t="shared" si="240"/>
        <v>х</v>
      </c>
      <c r="AX159" s="5" t="str">
        <f t="shared" si="240"/>
        <v>х</v>
      </c>
      <c r="AY159" s="5" t="str">
        <f t="shared" si="240"/>
        <v>х</v>
      </c>
      <c r="AZ159" s="5" t="str">
        <f t="shared" si="240"/>
        <v>х</v>
      </c>
      <c r="BA159" s="5" t="str">
        <f t="shared" si="240"/>
        <v>х</v>
      </c>
      <c r="BB159" s="5" t="str">
        <f t="shared" si="240"/>
        <v>х</v>
      </c>
      <c r="BC159" s="5" t="str">
        <f t="shared" si="241"/>
        <v>х</v>
      </c>
      <c r="BD159" s="5" t="str">
        <f t="shared" si="241"/>
        <v>х</v>
      </c>
      <c r="BE159" s="5" t="str">
        <f t="shared" si="241"/>
        <v>х</v>
      </c>
      <c r="BF159" s="5" t="str">
        <f t="shared" si="241"/>
        <v>х</v>
      </c>
      <c r="BG159" s="5" t="str">
        <f t="shared" si="241"/>
        <v>х</v>
      </c>
      <c r="BH159" s="5" t="str">
        <f t="shared" si="241"/>
        <v>х</v>
      </c>
      <c r="BI159" s="5" t="str">
        <f t="shared" si="241"/>
        <v>х</v>
      </c>
      <c r="BJ159" s="5" t="str">
        <f t="shared" si="241"/>
        <v>х</v>
      </c>
      <c r="BK159" s="5" t="str">
        <f t="shared" si="241"/>
        <v>х</v>
      </c>
      <c r="BL159" s="5" t="str">
        <f t="shared" si="241"/>
        <v>х</v>
      </c>
      <c r="BM159" s="5" t="str">
        <f t="shared" si="241"/>
        <v>х</v>
      </c>
      <c r="BN159" s="5" t="str">
        <f t="shared" si="241"/>
        <v>х</v>
      </c>
      <c r="BO159" s="5" t="str">
        <f t="shared" si="241"/>
        <v>х</v>
      </c>
      <c r="BP159" s="5" t="str">
        <f t="shared" si="241"/>
        <v>х</v>
      </c>
      <c r="BQ159" s="5" t="str">
        <f t="shared" si="241"/>
        <v>х</v>
      </c>
      <c r="BR159" s="5" t="str">
        <f>""</f>
        <v/>
      </c>
      <c r="BS159" s="5" t="str">
        <f>"25,00"</f>
        <v>25,00</v>
      </c>
      <c r="BT159" s="5" t="str">
        <f>"2033"</f>
        <v>2033</v>
      </c>
      <c r="BU159" s="5" t="str">
        <f t="shared" si="223"/>
        <v>нет</v>
      </c>
      <c r="BV159" s="5" t="str">
        <f t="shared" si="234"/>
        <v>x</v>
      </c>
      <c r="BW159" s="5" t="str">
        <f t="shared" si="234"/>
        <v>x</v>
      </c>
      <c r="BX159" s="5" t="str">
        <f t="shared" si="234"/>
        <v>x</v>
      </c>
      <c r="BY159" s="5" t="str">
        <f t="shared" si="221"/>
        <v>нет</v>
      </c>
      <c r="BZ159" s="5" t="str">
        <f t="shared" si="242"/>
        <v>x</v>
      </c>
      <c r="CA159" s="5" t="str">
        <f t="shared" si="242"/>
        <v>x</v>
      </c>
      <c r="CB159" s="5" t="str">
        <f t="shared" si="242"/>
        <v>x</v>
      </c>
      <c r="CC159" s="5" t="str">
        <f>""</f>
        <v/>
      </c>
      <c r="CD159" s="5" t="str">
        <f>"20,00"</f>
        <v>20,00</v>
      </c>
      <c r="CE159" s="5" t="str">
        <f>"2029"</f>
        <v>2029</v>
      </c>
      <c r="CF159" s="5" t="str">
        <f>""</f>
        <v/>
      </c>
      <c r="CG159" s="5" t="str">
        <f>"18,00"</f>
        <v>18,00</v>
      </c>
      <c r="CH159" s="5" t="str">
        <f>"2030"</f>
        <v>2030</v>
      </c>
      <c r="CI159" s="5" t="str">
        <f>"24,00"</f>
        <v>24,00</v>
      </c>
      <c r="CJ159" s="5" t="str">
        <f>"2035"</f>
        <v>2035</v>
      </c>
    </row>
    <row r="160" spans="1:88" ht="11.25" customHeight="1">
      <c r="A160" s="3" t="str">
        <f>"1.147"</f>
        <v>1.147</v>
      </c>
      <c r="B160" s="4" t="str">
        <f>"г. Грязовец, ул. Ленина, д.34"</f>
        <v>г. Грязовец, ул. Ленина, д.34</v>
      </c>
      <c r="C160" s="7" t="str">
        <f>"1917"</f>
        <v>1917</v>
      </c>
      <c r="D160" s="5" t="str">
        <f>"1980"</f>
        <v>1980</v>
      </c>
      <c r="E160" s="5" t="str">
        <f>"60,00"</f>
        <v>60,00</v>
      </c>
      <c r="F160" s="5" t="str">
        <f>"2020"</f>
        <v>2020</v>
      </c>
      <c r="G160" s="5" t="str">
        <f>"да"</f>
        <v>да</v>
      </c>
      <c r="H160" s="5" t="str">
        <f>"1980"</f>
        <v>1980</v>
      </c>
      <c r="I160" s="5" t="str">
        <f>"60,00"</f>
        <v>60,00</v>
      </c>
      <c r="J160" s="5" t="str">
        <f>"2020"</f>
        <v>2020</v>
      </c>
      <c r="K160" s="5" t="str">
        <f>"да"</f>
        <v>да</v>
      </c>
      <c r="L160" s="5" t="str">
        <f>"1980"</f>
        <v>1980</v>
      </c>
      <c r="M160" s="5" t="str">
        <f>"60,00"</f>
        <v>60,00</v>
      </c>
      <c r="N160" s="5" t="str">
        <f>"2020"</f>
        <v>2020</v>
      </c>
      <c r="O160" s="8" t="str">
        <f>"1980"</f>
        <v>1980</v>
      </c>
      <c r="P160" s="5" t="str">
        <f>"60,00"</f>
        <v>60,00</v>
      </c>
      <c r="Q160" s="5" t="str">
        <f>"2020"</f>
        <v>2020</v>
      </c>
      <c r="R160" s="5" t="str">
        <f>"нет"</f>
        <v>нет</v>
      </c>
      <c r="S160" s="5" t="str">
        <f>"х"</f>
        <v>х</v>
      </c>
      <c r="T160" s="5" t="str">
        <f>"х"</f>
        <v>х</v>
      </c>
      <c r="U160" s="5" t="str">
        <f>"х"</f>
        <v>х</v>
      </c>
      <c r="V160" s="5" t="str">
        <f>"нет"</f>
        <v>нет</v>
      </c>
      <c r="W160" s="5" t="str">
        <f>"х"</f>
        <v>х</v>
      </c>
      <c r="X160" s="5" t="str">
        <f>"х"</f>
        <v>х</v>
      </c>
      <c r="Y160" s="9" t="str">
        <f>"х"</f>
        <v>х</v>
      </c>
      <c r="Z160" s="5" t="str">
        <f>"1980"</f>
        <v>1980</v>
      </c>
      <c r="AA160" s="5" t="str">
        <f>"70,00"</f>
        <v>70,00</v>
      </c>
      <c r="AB160" s="5" t="str">
        <f>"2020"</f>
        <v>2020</v>
      </c>
      <c r="AC160" s="5" t="str">
        <f t="shared" si="235"/>
        <v>нет</v>
      </c>
      <c r="AD160" s="5" t="str">
        <f t="shared" ref="AD160:AF161" si="243">"х"</f>
        <v>х</v>
      </c>
      <c r="AE160" s="5" t="str">
        <f t="shared" si="243"/>
        <v>х</v>
      </c>
      <c r="AF160" s="5" t="str">
        <f t="shared" si="243"/>
        <v>х</v>
      </c>
      <c r="AG160" s="5" t="str">
        <f t="shared" si="236"/>
        <v>нет</v>
      </c>
      <c r="AH160" s="5" t="str">
        <f t="shared" ref="AH160:AJ161" si="244">"х"</f>
        <v>х</v>
      </c>
      <c r="AI160" s="5" t="str">
        <f t="shared" si="244"/>
        <v>х</v>
      </c>
      <c r="AJ160" s="5" t="str">
        <f t="shared" si="244"/>
        <v>х</v>
      </c>
      <c r="AK160" s="8" t="str">
        <f>"1980"</f>
        <v>1980</v>
      </c>
      <c r="AL160" s="5" t="str">
        <f>"80,00"</f>
        <v>80,00</v>
      </c>
      <c r="AM160" s="5" t="str">
        <f>"2020"</f>
        <v>2020</v>
      </c>
      <c r="AN160" s="5" t="str">
        <f t="shared" ref="AN160:AN171" si="245">"нет"</f>
        <v>нет</v>
      </c>
      <c r="AO160" s="5" t="str">
        <f t="shared" si="239"/>
        <v>х</v>
      </c>
      <c r="AP160" s="5" t="str">
        <f t="shared" si="239"/>
        <v>х</v>
      </c>
      <c r="AQ160" s="5" t="str">
        <f t="shared" si="239"/>
        <v>х</v>
      </c>
      <c r="AR160" s="5" t="str">
        <f>"х"</f>
        <v>х</v>
      </c>
      <c r="AS160" s="5" t="str">
        <f t="shared" si="240"/>
        <v>х</v>
      </c>
      <c r="AT160" s="5" t="str">
        <f t="shared" si="240"/>
        <v>х</v>
      </c>
      <c r="AU160" s="5" t="str">
        <f t="shared" si="240"/>
        <v>х</v>
      </c>
      <c r="AV160" s="5" t="str">
        <f t="shared" si="240"/>
        <v>х</v>
      </c>
      <c r="AW160" s="5" t="str">
        <f t="shared" si="240"/>
        <v>х</v>
      </c>
      <c r="AX160" s="5" t="str">
        <f t="shared" si="240"/>
        <v>х</v>
      </c>
      <c r="AY160" s="5" t="str">
        <f t="shared" si="240"/>
        <v>х</v>
      </c>
      <c r="AZ160" s="5" t="str">
        <f t="shared" si="240"/>
        <v>х</v>
      </c>
      <c r="BA160" s="5" t="str">
        <f t="shared" si="240"/>
        <v>х</v>
      </c>
      <c r="BB160" s="5" t="str">
        <f t="shared" si="240"/>
        <v>х</v>
      </c>
      <c r="BC160" s="5" t="str">
        <f t="shared" si="241"/>
        <v>х</v>
      </c>
      <c r="BD160" s="5" t="str">
        <f t="shared" si="241"/>
        <v>х</v>
      </c>
      <c r="BE160" s="5" t="str">
        <f t="shared" si="241"/>
        <v>х</v>
      </c>
      <c r="BF160" s="5" t="str">
        <f t="shared" si="241"/>
        <v>х</v>
      </c>
      <c r="BG160" s="5" t="str">
        <f t="shared" si="241"/>
        <v>х</v>
      </c>
      <c r="BH160" s="5" t="str">
        <f t="shared" si="241"/>
        <v>х</v>
      </c>
      <c r="BI160" s="5" t="str">
        <f t="shared" si="241"/>
        <v>х</v>
      </c>
      <c r="BJ160" s="5" t="str">
        <f t="shared" si="241"/>
        <v>х</v>
      </c>
      <c r="BK160" s="5" t="str">
        <f t="shared" si="241"/>
        <v>х</v>
      </c>
      <c r="BL160" s="5" t="str">
        <f t="shared" si="241"/>
        <v>х</v>
      </c>
      <c r="BM160" s="5" t="str">
        <f t="shared" si="241"/>
        <v>х</v>
      </c>
      <c r="BN160" s="5" t="str">
        <f t="shared" si="241"/>
        <v>х</v>
      </c>
      <c r="BO160" s="5" t="str">
        <f t="shared" si="241"/>
        <v>х</v>
      </c>
      <c r="BP160" s="5" t="str">
        <f t="shared" si="241"/>
        <v>х</v>
      </c>
      <c r="BQ160" s="5" t="str">
        <f t="shared" si="241"/>
        <v>х</v>
      </c>
      <c r="BR160" s="5" t="str">
        <f>"1980"</f>
        <v>1980</v>
      </c>
      <c r="BS160" s="5" t="str">
        <f>"70,00"</f>
        <v>70,00</v>
      </c>
      <c r="BT160" s="5" t="str">
        <f>"2020"</f>
        <v>2020</v>
      </c>
      <c r="BU160" s="5" t="str">
        <f t="shared" si="223"/>
        <v>нет</v>
      </c>
      <c r="BV160" s="5" t="str">
        <f t="shared" si="234"/>
        <v>x</v>
      </c>
      <c r="BW160" s="5" t="str">
        <f t="shared" si="234"/>
        <v>x</v>
      </c>
      <c r="BX160" s="5" t="str">
        <f t="shared" si="234"/>
        <v>x</v>
      </c>
      <c r="BY160" s="5" t="str">
        <f t="shared" si="221"/>
        <v>нет</v>
      </c>
      <c r="BZ160" s="5" t="str">
        <f t="shared" si="242"/>
        <v>x</v>
      </c>
      <c r="CA160" s="5" t="str">
        <f t="shared" si="242"/>
        <v>x</v>
      </c>
      <c r="CB160" s="5" t="str">
        <f t="shared" si="242"/>
        <v>x</v>
      </c>
      <c r="CC160" s="5" t="str">
        <f>"1980"</f>
        <v>1980</v>
      </c>
      <c r="CD160" s="5" t="str">
        <f>"56,00"</f>
        <v>56,00</v>
      </c>
      <c r="CE160" s="5" t="str">
        <f>"2020"</f>
        <v>2020</v>
      </c>
      <c r="CF160" s="5" t="str">
        <f>"1980"</f>
        <v>1980</v>
      </c>
      <c r="CG160" s="5" t="str">
        <f>"56,00"</f>
        <v>56,00</v>
      </c>
      <c r="CH160" s="5" t="str">
        <f>"2020"</f>
        <v>2020</v>
      </c>
      <c r="CI160" s="5" t="str">
        <f>"56,00"</f>
        <v>56,00</v>
      </c>
      <c r="CJ160" s="5" t="str">
        <f>"2020"</f>
        <v>2020</v>
      </c>
    </row>
    <row r="161" spans="1:88" ht="11.25" customHeight="1">
      <c r="A161" s="3" t="str">
        <f>"1.148"</f>
        <v>1.148</v>
      </c>
      <c r="B161" s="4" t="str">
        <f>"г. Грязовец, ул. Ленина, д.39"</f>
        <v>г. Грязовец, ул. Ленина, д.39</v>
      </c>
      <c r="C161" s="7" t="str">
        <f>"1977"</f>
        <v>1977</v>
      </c>
      <c r="D161" s="5" t="str">
        <f>""</f>
        <v/>
      </c>
      <c r="E161" s="5" t="str">
        <f>"35,00"</f>
        <v>35,00</v>
      </c>
      <c r="F161" s="5" t="str">
        <f>"2026"</f>
        <v>2026</v>
      </c>
      <c r="G161" s="5" t="str">
        <f>"нет"</f>
        <v>нет</v>
      </c>
      <c r="H161" s="5" t="str">
        <f>""</f>
        <v/>
      </c>
      <c r="I161" s="5" t="str">
        <f>""</f>
        <v/>
      </c>
      <c r="J161" s="5" t="str">
        <f>""</f>
        <v/>
      </c>
      <c r="K161" s="5" t="str">
        <f>"нет"</f>
        <v>нет</v>
      </c>
      <c r="L161" s="5" t="str">
        <f>""</f>
        <v/>
      </c>
      <c r="M161" s="5" t="str">
        <f>""</f>
        <v/>
      </c>
      <c r="N161" s="5" t="str">
        <f>""</f>
        <v/>
      </c>
      <c r="O161" s="8" t="str">
        <f>""</f>
        <v/>
      </c>
      <c r="P161" s="5" t="str">
        <f>"30,00"</f>
        <v>30,00</v>
      </c>
      <c r="Q161" s="5" t="str">
        <f>"2027"</f>
        <v>2027</v>
      </c>
      <c r="R161" s="5" t="str">
        <f>"нет"</f>
        <v>нет</v>
      </c>
      <c r="S161" s="5" t="str">
        <f>""</f>
        <v/>
      </c>
      <c r="T161" s="5" t="str">
        <f>""</f>
        <v/>
      </c>
      <c r="U161" s="5" t="str">
        <f>""</f>
        <v/>
      </c>
      <c r="V161" s="5" t="str">
        <f>"нет"</f>
        <v>нет</v>
      </c>
      <c r="W161" s="5" t="str">
        <f>""</f>
        <v/>
      </c>
      <c r="X161" s="5" t="str">
        <f>""</f>
        <v/>
      </c>
      <c r="Y161" s="9" t="str">
        <f>""</f>
        <v/>
      </c>
      <c r="Z161" s="5" t="str">
        <f>"х"</f>
        <v>х</v>
      </c>
      <c r="AA161" s="5" t="str">
        <f>"х"</f>
        <v>х</v>
      </c>
      <c r="AB161" s="5" t="str">
        <f>"х"</f>
        <v>х</v>
      </c>
      <c r="AC161" s="5" t="str">
        <f>"х"</f>
        <v>х</v>
      </c>
      <c r="AD161" s="5" t="str">
        <f t="shared" si="243"/>
        <v>х</v>
      </c>
      <c r="AE161" s="5" t="str">
        <f t="shared" si="243"/>
        <v>х</v>
      </c>
      <c r="AF161" s="5" t="str">
        <f t="shared" si="243"/>
        <v>х</v>
      </c>
      <c r="AG161" s="5" t="str">
        <f>"х"</f>
        <v>х</v>
      </c>
      <c r="AH161" s="5" t="str">
        <f t="shared" si="244"/>
        <v>х</v>
      </c>
      <c r="AI161" s="5" t="str">
        <f t="shared" si="244"/>
        <v>х</v>
      </c>
      <c r="AJ161" s="5" t="str">
        <f t="shared" si="244"/>
        <v>х</v>
      </c>
      <c r="AK161" s="8" t="str">
        <f>""</f>
        <v/>
      </c>
      <c r="AL161" s="5" t="str">
        <f>"30,00"</f>
        <v>30,00</v>
      </c>
      <c r="AM161" s="5" t="str">
        <f>"2028"</f>
        <v>2028</v>
      </c>
      <c r="AN161" s="5" t="str">
        <f t="shared" si="245"/>
        <v>нет</v>
      </c>
      <c r="AO161" s="5" t="str">
        <f>""</f>
        <v/>
      </c>
      <c r="AP161" s="5" t="str">
        <f>""</f>
        <v/>
      </c>
      <c r="AQ161" s="5" t="str">
        <f>""</f>
        <v/>
      </c>
      <c r="AR161" s="5" t="str">
        <f>"нет"</f>
        <v>нет</v>
      </c>
      <c r="AS161" s="5" t="str">
        <f>""</f>
        <v/>
      </c>
      <c r="AT161" s="5" t="str">
        <f>""</f>
        <v/>
      </c>
      <c r="AU161" s="5" t="str">
        <f>""</f>
        <v/>
      </c>
      <c r="AV161" s="5" t="str">
        <f t="shared" ref="AV161:BF164" si="246">"х"</f>
        <v>х</v>
      </c>
      <c r="AW161" s="5" t="str">
        <f t="shared" si="246"/>
        <v>х</v>
      </c>
      <c r="AX161" s="5" t="str">
        <f t="shared" si="246"/>
        <v>х</v>
      </c>
      <c r="AY161" s="5" t="str">
        <f t="shared" si="246"/>
        <v>х</v>
      </c>
      <c r="AZ161" s="5" t="str">
        <f t="shared" si="246"/>
        <v>х</v>
      </c>
      <c r="BA161" s="5" t="str">
        <f t="shared" si="246"/>
        <v>х</v>
      </c>
      <c r="BB161" s="5" t="str">
        <f t="shared" si="246"/>
        <v>х</v>
      </c>
      <c r="BC161" s="5" t="str">
        <f t="shared" si="246"/>
        <v>х</v>
      </c>
      <c r="BD161" s="5" t="str">
        <f t="shared" si="246"/>
        <v>х</v>
      </c>
      <c r="BE161" s="5" t="str">
        <f t="shared" si="246"/>
        <v>х</v>
      </c>
      <c r="BF161" s="5" t="str">
        <f t="shared" si="246"/>
        <v>х</v>
      </c>
      <c r="BG161" s="5" t="str">
        <f>""</f>
        <v/>
      </c>
      <c r="BH161" s="5" t="str">
        <f>"30,00"</f>
        <v>30,00</v>
      </c>
      <c r="BI161" s="5" t="str">
        <f>"2028"</f>
        <v>2028</v>
      </c>
      <c r="BJ161" s="5" t="str">
        <f>"нет"</f>
        <v>нет</v>
      </c>
      <c r="BK161" s="5" t="str">
        <f>""</f>
        <v/>
      </c>
      <c r="BL161" s="5" t="str">
        <f>""</f>
        <v/>
      </c>
      <c r="BM161" s="5" t="str">
        <f>""</f>
        <v/>
      </c>
      <c r="BN161" s="5" t="str">
        <f>"нет"</f>
        <v>нет</v>
      </c>
      <c r="BO161" s="5" t="str">
        <f>""</f>
        <v/>
      </c>
      <c r="BP161" s="5" t="str">
        <f>""</f>
        <v/>
      </c>
      <c r="BQ161" s="5" t="str">
        <f>""</f>
        <v/>
      </c>
      <c r="BR161" s="5" t="str">
        <f>""</f>
        <v/>
      </c>
      <c r="BS161" s="5" t="str">
        <f>"35,00"</f>
        <v>35,00</v>
      </c>
      <c r="BT161" s="5" t="str">
        <f>"2020"</f>
        <v>2020</v>
      </c>
      <c r="BU161" s="5" t="str">
        <f t="shared" si="223"/>
        <v>нет</v>
      </c>
      <c r="BV161" s="5" t="str">
        <f t="shared" si="234"/>
        <v>x</v>
      </c>
      <c r="BW161" s="5" t="str">
        <f t="shared" si="234"/>
        <v>x</v>
      </c>
      <c r="BX161" s="5" t="str">
        <f t="shared" si="234"/>
        <v>x</v>
      </c>
      <c r="BY161" s="5" t="str">
        <f t="shared" si="221"/>
        <v>нет</v>
      </c>
      <c r="BZ161" s="5" t="str">
        <f t="shared" si="242"/>
        <v>x</v>
      </c>
      <c r="CA161" s="5" t="str">
        <f t="shared" si="242"/>
        <v>x</v>
      </c>
      <c r="CB161" s="5" t="str">
        <f t="shared" si="242"/>
        <v>x</v>
      </c>
      <c r="CC161" s="5" t="str">
        <f>""</f>
        <v/>
      </c>
      <c r="CD161" s="5" t="str">
        <f>"25,00"</f>
        <v>25,00</v>
      </c>
      <c r="CE161" s="5" t="str">
        <f>"2028"</f>
        <v>2028</v>
      </c>
      <c r="CF161" s="5" t="str">
        <f>""</f>
        <v/>
      </c>
      <c r="CG161" s="5" t="str">
        <f>"25,00"</f>
        <v>25,00</v>
      </c>
      <c r="CH161" s="5" t="str">
        <f>"2028"</f>
        <v>2028</v>
      </c>
      <c r="CI161" s="5" t="str">
        <f>"35,00"</f>
        <v>35,00</v>
      </c>
      <c r="CJ161" s="5" t="str">
        <f>"2028"</f>
        <v>2028</v>
      </c>
    </row>
    <row r="162" spans="1:88" ht="11.25" customHeight="1">
      <c r="A162" s="3" t="str">
        <f>"1.149"</f>
        <v>1.149</v>
      </c>
      <c r="B162" s="4" t="str">
        <f>"г. Грязовец, ул. Ленина, д.4"</f>
        <v>г. Грязовец, ул. Ленина, д.4</v>
      </c>
      <c r="C162" s="7" t="str">
        <f>"1965"</f>
        <v>1965</v>
      </c>
      <c r="D162" s="5" t="str">
        <f>"1980"</f>
        <v>1980</v>
      </c>
      <c r="E162" s="5" t="str">
        <f>"65,00"</f>
        <v>65,00</v>
      </c>
      <c r="F162" s="5" t="str">
        <f>"2018"</f>
        <v>2018</v>
      </c>
      <c r="G162" s="5" t="str">
        <f>"нет"</f>
        <v>нет</v>
      </c>
      <c r="H162" s="5" t="str">
        <f>""</f>
        <v/>
      </c>
      <c r="I162" s="5" t="str">
        <f>""</f>
        <v/>
      </c>
      <c r="J162" s="5" t="str">
        <f>""</f>
        <v/>
      </c>
      <c r="K162" s="5" t="str">
        <f>"нет"</f>
        <v>нет</v>
      </c>
      <c r="L162" s="5" t="str">
        <f>""</f>
        <v/>
      </c>
      <c r="M162" s="5" t="str">
        <f>""</f>
        <v/>
      </c>
      <c r="N162" s="5" t="str">
        <f>""</f>
        <v/>
      </c>
      <c r="O162" s="8" t="str">
        <f t="shared" ref="O162:Y162" si="247">"х"</f>
        <v>х</v>
      </c>
      <c r="P162" s="5" t="str">
        <f t="shared" si="247"/>
        <v>х</v>
      </c>
      <c r="Q162" s="5" t="str">
        <f t="shared" si="247"/>
        <v>х</v>
      </c>
      <c r="R162" s="5" t="str">
        <f t="shared" si="247"/>
        <v>х</v>
      </c>
      <c r="S162" s="5" t="str">
        <f t="shared" si="247"/>
        <v>х</v>
      </c>
      <c r="T162" s="5" t="str">
        <f t="shared" si="247"/>
        <v>х</v>
      </c>
      <c r="U162" s="5" t="str">
        <f t="shared" si="247"/>
        <v>х</v>
      </c>
      <c r="V162" s="5" t="str">
        <f t="shared" si="247"/>
        <v>х</v>
      </c>
      <c r="W162" s="5" t="str">
        <f t="shared" si="247"/>
        <v>х</v>
      </c>
      <c r="X162" s="5" t="str">
        <f t="shared" si="247"/>
        <v>х</v>
      </c>
      <c r="Y162" s="9" t="str">
        <f t="shared" si="247"/>
        <v>х</v>
      </c>
      <c r="Z162" s="5" t="str">
        <f>"1980"</f>
        <v>1980</v>
      </c>
      <c r="AA162" s="5" t="str">
        <f>"55,00"</f>
        <v>55,00</v>
      </c>
      <c r="AB162" s="5" t="str">
        <f>"2019"</f>
        <v>2019</v>
      </c>
      <c r="AC162" s="5" t="str">
        <f t="shared" ref="AC162:AC167" si="248">"нет"</f>
        <v>нет</v>
      </c>
      <c r="AD162" s="5" t="str">
        <f>""</f>
        <v/>
      </c>
      <c r="AE162" s="5" t="str">
        <f>""</f>
        <v/>
      </c>
      <c r="AF162" s="5" t="str">
        <f>""</f>
        <v/>
      </c>
      <c r="AG162" s="5" t="str">
        <f>"нет"</f>
        <v>нет</v>
      </c>
      <c r="AH162" s="5" t="str">
        <f>""</f>
        <v/>
      </c>
      <c r="AI162" s="5" t="str">
        <f>""</f>
        <v/>
      </c>
      <c r="AJ162" s="5" t="str">
        <f>""</f>
        <v/>
      </c>
      <c r="AK162" s="8" t="str">
        <f>"1980"</f>
        <v>1980</v>
      </c>
      <c r="AL162" s="5" t="str">
        <f>"60,00"</f>
        <v>60,00</v>
      </c>
      <c r="AM162" s="5" t="str">
        <f>"2019"</f>
        <v>2019</v>
      </c>
      <c r="AN162" s="5" t="str">
        <f t="shared" si="245"/>
        <v>нет</v>
      </c>
      <c r="AO162" s="5" t="str">
        <f t="shared" ref="AO162:AU162" si="249">"х"</f>
        <v>х</v>
      </c>
      <c r="AP162" s="5" t="str">
        <f t="shared" si="249"/>
        <v>х</v>
      </c>
      <c r="AQ162" s="5" t="str">
        <f t="shared" si="249"/>
        <v>х</v>
      </c>
      <c r="AR162" s="5" t="str">
        <f t="shared" si="249"/>
        <v>х</v>
      </c>
      <c r="AS162" s="5" t="str">
        <f t="shared" si="249"/>
        <v>х</v>
      </c>
      <c r="AT162" s="5" t="str">
        <f t="shared" si="249"/>
        <v>х</v>
      </c>
      <c r="AU162" s="5" t="str">
        <f t="shared" si="249"/>
        <v>х</v>
      </c>
      <c r="AV162" s="5" t="str">
        <f t="shared" si="246"/>
        <v>х</v>
      </c>
      <c r="AW162" s="5" t="str">
        <f t="shared" si="246"/>
        <v>х</v>
      </c>
      <c r="AX162" s="5" t="str">
        <f t="shared" si="246"/>
        <v>х</v>
      </c>
      <c r="AY162" s="5" t="str">
        <f t="shared" si="246"/>
        <v>х</v>
      </c>
      <c r="AZ162" s="5" t="str">
        <f t="shared" si="246"/>
        <v>х</v>
      </c>
      <c r="BA162" s="5" t="str">
        <f t="shared" si="246"/>
        <v>х</v>
      </c>
      <c r="BB162" s="5" t="str">
        <f t="shared" si="246"/>
        <v>х</v>
      </c>
      <c r="BC162" s="5" t="str">
        <f t="shared" si="246"/>
        <v>х</v>
      </c>
      <c r="BD162" s="5" t="str">
        <f t="shared" si="246"/>
        <v>х</v>
      </c>
      <c r="BE162" s="5" t="str">
        <f t="shared" si="246"/>
        <v>х</v>
      </c>
      <c r="BF162" s="5" t="str">
        <f t="shared" si="246"/>
        <v>х</v>
      </c>
      <c r="BG162" s="5" t="str">
        <f>"1980"</f>
        <v>1980</v>
      </c>
      <c r="BH162" s="5" t="str">
        <f>"60,00"</f>
        <v>60,00</v>
      </c>
      <c r="BI162" s="5" t="str">
        <f>"2019"</f>
        <v>2019</v>
      </c>
      <c r="BJ162" s="5" t="str">
        <f>"нет"</f>
        <v>нет</v>
      </c>
      <c r="BK162" s="5" t="str">
        <f t="shared" ref="BK162:BQ162" si="250">"х"</f>
        <v>х</v>
      </c>
      <c r="BL162" s="5" t="str">
        <f t="shared" si="250"/>
        <v>х</v>
      </c>
      <c r="BM162" s="5" t="str">
        <f t="shared" si="250"/>
        <v>х</v>
      </c>
      <c r="BN162" s="5" t="str">
        <f t="shared" si="250"/>
        <v>х</v>
      </c>
      <c r="BO162" s="5" t="str">
        <f t="shared" si="250"/>
        <v>х</v>
      </c>
      <c r="BP162" s="5" t="str">
        <f t="shared" si="250"/>
        <v>х</v>
      </c>
      <c r="BQ162" s="5" t="str">
        <f t="shared" si="250"/>
        <v>х</v>
      </c>
      <c r="BR162" s="5" t="str">
        <f>"1980"</f>
        <v>1980</v>
      </c>
      <c r="BS162" s="5" t="str">
        <f>"60,00"</f>
        <v>60,00</v>
      </c>
      <c r="BT162" s="5" t="str">
        <f>"2019"</f>
        <v>2019</v>
      </c>
      <c r="BU162" s="5" t="str">
        <f t="shared" si="223"/>
        <v>нет</v>
      </c>
      <c r="BV162" s="5" t="str">
        <f t="shared" si="234"/>
        <v>x</v>
      </c>
      <c r="BW162" s="5" t="str">
        <f t="shared" si="234"/>
        <v>x</v>
      </c>
      <c r="BX162" s="5" t="str">
        <f t="shared" si="234"/>
        <v>x</v>
      </c>
      <c r="BY162" s="5" t="str">
        <f t="shared" si="221"/>
        <v>нет</v>
      </c>
      <c r="BZ162" s="5" t="str">
        <f>"1980"</f>
        <v>1980</v>
      </c>
      <c r="CA162" s="5" t="str">
        <f>"60,00"</f>
        <v>60,00</v>
      </c>
      <c r="CB162" s="5" t="str">
        <f>"2019"</f>
        <v>2019</v>
      </c>
      <c r="CC162" s="5" t="str">
        <f>"1980"</f>
        <v>1980</v>
      </c>
      <c r="CD162" s="5" t="str">
        <f>"60,00"</f>
        <v>60,00</v>
      </c>
      <c r="CE162" s="5" t="str">
        <f>"2019"</f>
        <v>2019</v>
      </c>
      <c r="CF162" s="5" t="str">
        <f>"1980"</f>
        <v>1980</v>
      </c>
      <c r="CG162" s="5" t="str">
        <f>"60,00"</f>
        <v>60,00</v>
      </c>
      <c r="CH162" s="5" t="str">
        <f>"2019"</f>
        <v>2019</v>
      </c>
      <c r="CI162" s="5" t="str">
        <f>"60,00"</f>
        <v>60,00</v>
      </c>
      <c r="CJ162" s="5" t="str">
        <f>"2020"</f>
        <v>2020</v>
      </c>
    </row>
    <row r="163" spans="1:88" ht="11.25" customHeight="1">
      <c r="A163" s="3" t="str">
        <f>"1.150"</f>
        <v>1.150</v>
      </c>
      <c r="B163" s="4" t="str">
        <f>"г. Грязовец, ул. Ленина, д.50"</f>
        <v>г. Грязовец, ул. Ленина, д.50</v>
      </c>
      <c r="C163" s="7" t="str">
        <f>"1916"</f>
        <v>1916</v>
      </c>
      <c r="D163" s="5" t="str">
        <f>"1980"</f>
        <v>1980</v>
      </c>
      <c r="E163" s="5" t="str">
        <f>"60,00"</f>
        <v>60,00</v>
      </c>
      <c r="F163" s="5" t="str">
        <f>"2019"</f>
        <v>2019</v>
      </c>
      <c r="G163" s="5" t="str">
        <f>"да"</f>
        <v>да</v>
      </c>
      <c r="H163" s="5" t="str">
        <f>"1980"</f>
        <v>1980</v>
      </c>
      <c r="I163" s="5" t="str">
        <f>"60,00"</f>
        <v>60,00</v>
      </c>
      <c r="J163" s="5" t="str">
        <f>"2019"</f>
        <v>2019</v>
      </c>
      <c r="K163" s="5" t="str">
        <f>"да"</f>
        <v>да</v>
      </c>
      <c r="L163" s="5" t="str">
        <f>"1980"</f>
        <v>1980</v>
      </c>
      <c r="M163" s="5" t="str">
        <f>"60,00"</f>
        <v>60,00</v>
      </c>
      <c r="N163" s="5" t="str">
        <f>"2019"</f>
        <v>2019</v>
      </c>
      <c r="O163" s="8" t="str">
        <f>"1980"</f>
        <v>1980</v>
      </c>
      <c r="P163" s="5" t="str">
        <f>"50,00"</f>
        <v>50,00</v>
      </c>
      <c r="Q163" s="5" t="str">
        <f>"2020"</f>
        <v>2020</v>
      </c>
      <c r="R163" s="5" t="str">
        <f t="shared" ref="R163:R172" si="251">"нет"</f>
        <v>нет</v>
      </c>
      <c r="S163" s="5" t="str">
        <f>"х"</f>
        <v>х</v>
      </c>
      <c r="T163" s="5" t="str">
        <f>"х"</f>
        <v>х</v>
      </c>
      <c r="U163" s="5" t="str">
        <f>"х"</f>
        <v>х</v>
      </c>
      <c r="V163" s="5" t="str">
        <f t="shared" ref="V163:V172" si="252">"нет"</f>
        <v>нет</v>
      </c>
      <c r="W163" s="5" t="str">
        <f>"х"</f>
        <v>х</v>
      </c>
      <c r="X163" s="5" t="str">
        <f>"х"</f>
        <v>х</v>
      </c>
      <c r="Y163" s="9" t="str">
        <f>"х"</f>
        <v>х</v>
      </c>
      <c r="Z163" s="5" t="str">
        <f>"1980"</f>
        <v>1980</v>
      </c>
      <c r="AA163" s="5" t="str">
        <f>"55,00"</f>
        <v>55,00</v>
      </c>
      <c r="AB163" s="5" t="str">
        <f>"2020"</f>
        <v>2020</v>
      </c>
      <c r="AC163" s="5" t="str">
        <f t="shared" si="248"/>
        <v>нет</v>
      </c>
      <c r="AD163" s="5" t="str">
        <f>"х"</f>
        <v>х</v>
      </c>
      <c r="AE163" s="5" t="str">
        <f>"х"</f>
        <v>х</v>
      </c>
      <c r="AF163" s="5" t="str">
        <f>"х"</f>
        <v>х</v>
      </c>
      <c r="AG163" s="5" t="str">
        <f>"нет"</f>
        <v>нет</v>
      </c>
      <c r="AH163" s="5" t="str">
        <f>"х"</f>
        <v>х</v>
      </c>
      <c r="AI163" s="5" t="str">
        <f>"х"</f>
        <v>х</v>
      </c>
      <c r="AJ163" s="5" t="str">
        <f>"х"</f>
        <v>х</v>
      </c>
      <c r="AK163" s="8" t="str">
        <f>"1980"</f>
        <v>1980</v>
      </c>
      <c r="AL163" s="5" t="str">
        <f>"70,00"</f>
        <v>70,00</v>
      </c>
      <c r="AM163" s="5" t="str">
        <f>"2019"</f>
        <v>2019</v>
      </c>
      <c r="AN163" s="5" t="str">
        <f t="shared" si="245"/>
        <v>нет</v>
      </c>
      <c r="AO163" s="5" t="str">
        <f t="shared" ref="AO163:AQ164" si="253">"х"</f>
        <v>х</v>
      </c>
      <c r="AP163" s="5" t="str">
        <f t="shared" si="253"/>
        <v>х</v>
      </c>
      <c r="AQ163" s="5" t="str">
        <f t="shared" si="253"/>
        <v>х</v>
      </c>
      <c r="AR163" s="5" t="str">
        <f t="shared" ref="AR163:AR171" si="254">"нет"</f>
        <v>нет</v>
      </c>
      <c r="AS163" s="5" t="str">
        <f t="shared" ref="AS163:AU164" si="255">"х"</f>
        <v>х</v>
      </c>
      <c r="AT163" s="5" t="str">
        <f t="shared" si="255"/>
        <v>х</v>
      </c>
      <c r="AU163" s="5" t="str">
        <f t="shared" si="255"/>
        <v>х</v>
      </c>
      <c r="AV163" s="5" t="str">
        <f t="shared" si="246"/>
        <v>х</v>
      </c>
      <c r="AW163" s="5" t="str">
        <f t="shared" si="246"/>
        <v>х</v>
      </c>
      <c r="AX163" s="5" t="str">
        <f t="shared" si="246"/>
        <v>х</v>
      </c>
      <c r="AY163" s="5" t="str">
        <f t="shared" si="246"/>
        <v>х</v>
      </c>
      <c r="AZ163" s="5" t="str">
        <f t="shared" si="246"/>
        <v>х</v>
      </c>
      <c r="BA163" s="5" t="str">
        <f t="shared" si="246"/>
        <v>х</v>
      </c>
      <c r="BB163" s="5" t="str">
        <f t="shared" si="246"/>
        <v>х</v>
      </c>
      <c r="BC163" s="5" t="str">
        <f t="shared" si="246"/>
        <v>х</v>
      </c>
      <c r="BD163" s="5" t="str">
        <f t="shared" si="246"/>
        <v>х</v>
      </c>
      <c r="BE163" s="5" t="str">
        <f t="shared" si="246"/>
        <v>х</v>
      </c>
      <c r="BF163" s="5" t="str">
        <f t="shared" si="246"/>
        <v>х</v>
      </c>
      <c r="BG163" s="5" t="str">
        <f>"1980"</f>
        <v>1980</v>
      </c>
      <c r="BH163" s="5" t="str">
        <f>"70,00"</f>
        <v>70,00</v>
      </c>
      <c r="BI163" s="5" t="str">
        <f>"2019"</f>
        <v>2019</v>
      </c>
      <c r="BJ163" s="5" t="str">
        <f>"нет"</f>
        <v>нет</v>
      </c>
      <c r="BK163" s="5" t="str">
        <f t="shared" ref="BK163:BM164" si="256">"х"</f>
        <v>х</v>
      </c>
      <c r="BL163" s="5" t="str">
        <f t="shared" si="256"/>
        <v>х</v>
      </c>
      <c r="BM163" s="5" t="str">
        <f t="shared" si="256"/>
        <v>х</v>
      </c>
      <c r="BN163" s="5" t="str">
        <f>"нет"</f>
        <v>нет</v>
      </c>
      <c r="BO163" s="5" t="str">
        <f t="shared" ref="BO163:BQ164" si="257">"х"</f>
        <v>х</v>
      </c>
      <c r="BP163" s="5" t="str">
        <f t="shared" si="257"/>
        <v>х</v>
      </c>
      <c r="BQ163" s="5" t="str">
        <f t="shared" si="257"/>
        <v>х</v>
      </c>
      <c r="BR163" s="5" t="str">
        <f>"1980"</f>
        <v>1980</v>
      </c>
      <c r="BS163" s="5" t="str">
        <f>"55,00"</f>
        <v>55,00</v>
      </c>
      <c r="BT163" s="5" t="str">
        <f>"2020"</f>
        <v>2020</v>
      </c>
      <c r="BU163" s="5" t="str">
        <f t="shared" si="223"/>
        <v>нет</v>
      </c>
      <c r="BV163" s="5" t="str">
        <f t="shared" si="234"/>
        <v>x</v>
      </c>
      <c r="BW163" s="5" t="str">
        <f t="shared" si="234"/>
        <v>x</v>
      </c>
      <c r="BX163" s="5" t="str">
        <f t="shared" si="234"/>
        <v>x</v>
      </c>
      <c r="BY163" s="5" t="str">
        <f t="shared" si="221"/>
        <v>нет</v>
      </c>
      <c r="BZ163" s="5" t="str">
        <f t="shared" ref="BZ163:CB171" si="258">"x"</f>
        <v>x</v>
      </c>
      <c r="CA163" s="5" t="str">
        <f t="shared" si="258"/>
        <v>x</v>
      </c>
      <c r="CB163" s="5" t="str">
        <f t="shared" si="258"/>
        <v>x</v>
      </c>
      <c r="CC163" s="5" t="str">
        <f>"1980"</f>
        <v>1980</v>
      </c>
      <c r="CD163" s="5" t="str">
        <f>"55,00"</f>
        <v>55,00</v>
      </c>
      <c r="CE163" s="5" t="str">
        <f>"2020"</f>
        <v>2020</v>
      </c>
      <c r="CF163" s="5" t="str">
        <f>"1980"</f>
        <v>1980</v>
      </c>
      <c r="CG163" s="5" t="str">
        <f>"55,00"</f>
        <v>55,00</v>
      </c>
      <c r="CH163" s="5" t="str">
        <f>"2020"</f>
        <v>2020</v>
      </c>
      <c r="CI163" s="5" t="str">
        <f>"56,00"</f>
        <v>56,00</v>
      </c>
      <c r="CJ163" s="5" t="str">
        <f>"2020"</f>
        <v>2020</v>
      </c>
    </row>
    <row r="164" spans="1:88" ht="11.25" customHeight="1">
      <c r="A164" s="3" t="str">
        <f>"1.151"</f>
        <v>1.151</v>
      </c>
      <c r="B164" s="4" t="str">
        <f>"г. Грязовец, ул. Ленина, д.50А"</f>
        <v>г. Грязовец, ул. Ленина, д.50А</v>
      </c>
      <c r="C164" s="7" t="str">
        <f>"1916"</f>
        <v>1916</v>
      </c>
      <c r="D164" s="5" t="str">
        <f>"1980"</f>
        <v>1980</v>
      </c>
      <c r="E164" s="5" t="str">
        <f>"60,00"</f>
        <v>60,00</v>
      </c>
      <c r="F164" s="5" t="str">
        <f>"2019"</f>
        <v>2019</v>
      </c>
      <c r="G164" s="5" t="str">
        <f>"да"</f>
        <v>да</v>
      </c>
      <c r="H164" s="5" t="str">
        <f>"1980"</f>
        <v>1980</v>
      </c>
      <c r="I164" s="5" t="str">
        <f>"60,00"</f>
        <v>60,00</v>
      </c>
      <c r="J164" s="5" t="str">
        <f>"2019"</f>
        <v>2019</v>
      </c>
      <c r="K164" s="5" t="str">
        <f>"да"</f>
        <v>да</v>
      </c>
      <c r="L164" s="5" t="str">
        <f>"1980"</f>
        <v>1980</v>
      </c>
      <c r="M164" s="5" t="str">
        <f>"60,00"</f>
        <v>60,00</v>
      </c>
      <c r="N164" s="5" t="str">
        <f>"2019"</f>
        <v>2019</v>
      </c>
      <c r="O164" s="8" t="str">
        <f>"1980"</f>
        <v>1980</v>
      </c>
      <c r="P164" s="5" t="str">
        <f>"70,00"</f>
        <v>70,00</v>
      </c>
      <c r="Q164" s="5" t="str">
        <f>"2019"</f>
        <v>2019</v>
      </c>
      <c r="R164" s="5" t="str">
        <f t="shared" si="251"/>
        <v>нет</v>
      </c>
      <c r="S164" s="5" t="str">
        <f>""</f>
        <v/>
      </c>
      <c r="T164" s="5" t="str">
        <f>""</f>
        <v/>
      </c>
      <c r="U164" s="5" t="str">
        <f>""</f>
        <v/>
      </c>
      <c r="V164" s="5" t="str">
        <f t="shared" si="252"/>
        <v>нет</v>
      </c>
      <c r="W164" s="5" t="str">
        <f>""</f>
        <v/>
      </c>
      <c r="X164" s="5" t="str">
        <f>""</f>
        <v/>
      </c>
      <c r="Y164" s="9" t="str">
        <f>""</f>
        <v/>
      </c>
      <c r="Z164" s="5" t="str">
        <f>"1980"</f>
        <v>1980</v>
      </c>
      <c r="AA164" s="5" t="str">
        <f>"58,00"</f>
        <v>58,00</v>
      </c>
      <c r="AB164" s="5" t="str">
        <f>"2022"</f>
        <v>2022</v>
      </c>
      <c r="AC164" s="5" t="str">
        <f t="shared" si="248"/>
        <v>нет</v>
      </c>
      <c r="AD164" s="5" t="str">
        <f>""</f>
        <v/>
      </c>
      <c r="AE164" s="5" t="str">
        <f>""</f>
        <v/>
      </c>
      <c r="AF164" s="5" t="str">
        <f>""</f>
        <v/>
      </c>
      <c r="AG164" s="5" t="str">
        <f>"нет"</f>
        <v>нет</v>
      </c>
      <c r="AH164" s="5" t="str">
        <f>""</f>
        <v/>
      </c>
      <c r="AI164" s="5" t="str">
        <f>""</f>
        <v/>
      </c>
      <c r="AJ164" s="5" t="str">
        <f>""</f>
        <v/>
      </c>
      <c r="AK164" s="8" t="str">
        <f>"1980"</f>
        <v>1980</v>
      </c>
      <c r="AL164" s="5" t="str">
        <f>"58,00"</f>
        <v>58,00</v>
      </c>
      <c r="AM164" s="5" t="str">
        <f>"2022"</f>
        <v>2022</v>
      </c>
      <c r="AN164" s="5" t="str">
        <f t="shared" si="245"/>
        <v>нет</v>
      </c>
      <c r="AO164" s="5" t="str">
        <f t="shared" si="253"/>
        <v>х</v>
      </c>
      <c r="AP164" s="5" t="str">
        <f t="shared" si="253"/>
        <v>х</v>
      </c>
      <c r="AQ164" s="5" t="str">
        <f t="shared" si="253"/>
        <v>х</v>
      </c>
      <c r="AR164" s="5" t="str">
        <f t="shared" si="254"/>
        <v>нет</v>
      </c>
      <c r="AS164" s="5" t="str">
        <f t="shared" si="255"/>
        <v>х</v>
      </c>
      <c r="AT164" s="5" t="str">
        <f t="shared" si="255"/>
        <v>х</v>
      </c>
      <c r="AU164" s="5" t="str">
        <f t="shared" si="255"/>
        <v>х</v>
      </c>
      <c r="AV164" s="5" t="str">
        <f t="shared" si="246"/>
        <v>х</v>
      </c>
      <c r="AW164" s="5" t="str">
        <f t="shared" si="246"/>
        <v>х</v>
      </c>
      <c r="AX164" s="5" t="str">
        <f t="shared" si="246"/>
        <v>х</v>
      </c>
      <c r="AY164" s="5" t="str">
        <f t="shared" si="246"/>
        <v>х</v>
      </c>
      <c r="AZ164" s="5" t="str">
        <f t="shared" si="246"/>
        <v>х</v>
      </c>
      <c r="BA164" s="5" t="str">
        <f t="shared" si="246"/>
        <v>х</v>
      </c>
      <c r="BB164" s="5" t="str">
        <f t="shared" si="246"/>
        <v>х</v>
      </c>
      <c r="BC164" s="5" t="str">
        <f t="shared" si="246"/>
        <v>х</v>
      </c>
      <c r="BD164" s="5" t="str">
        <f t="shared" si="246"/>
        <v>х</v>
      </c>
      <c r="BE164" s="5" t="str">
        <f t="shared" si="246"/>
        <v>х</v>
      </c>
      <c r="BF164" s="5" t="str">
        <f t="shared" si="246"/>
        <v>х</v>
      </c>
      <c r="BG164" s="5" t="str">
        <f>"х"</f>
        <v>х</v>
      </c>
      <c r="BH164" s="5" t="str">
        <f>"х"</f>
        <v>х</v>
      </c>
      <c r="BI164" s="5" t="str">
        <f>"х"</f>
        <v>х</v>
      </c>
      <c r="BJ164" s="5" t="str">
        <f>"х"</f>
        <v>х</v>
      </c>
      <c r="BK164" s="5" t="str">
        <f t="shared" si="256"/>
        <v>х</v>
      </c>
      <c r="BL164" s="5" t="str">
        <f t="shared" si="256"/>
        <v>х</v>
      </c>
      <c r="BM164" s="5" t="str">
        <f t="shared" si="256"/>
        <v>х</v>
      </c>
      <c r="BN164" s="5" t="str">
        <f>"х"</f>
        <v>х</v>
      </c>
      <c r="BO164" s="5" t="str">
        <f t="shared" si="257"/>
        <v>х</v>
      </c>
      <c r="BP164" s="5" t="str">
        <f t="shared" si="257"/>
        <v>х</v>
      </c>
      <c r="BQ164" s="5" t="str">
        <f t="shared" si="257"/>
        <v>х</v>
      </c>
      <c r="BR164" s="5" t="str">
        <f>"1980"</f>
        <v>1980</v>
      </c>
      <c r="BS164" s="5" t="str">
        <f>"60,00"</f>
        <v>60,00</v>
      </c>
      <c r="BT164" s="5" t="str">
        <f>"2019"</f>
        <v>2019</v>
      </c>
      <c r="BU164" s="5" t="str">
        <f t="shared" si="223"/>
        <v>нет</v>
      </c>
      <c r="BV164" s="5" t="str">
        <f t="shared" si="234"/>
        <v>x</v>
      </c>
      <c r="BW164" s="5" t="str">
        <f t="shared" si="234"/>
        <v>x</v>
      </c>
      <c r="BX164" s="5" t="str">
        <f t="shared" si="234"/>
        <v>x</v>
      </c>
      <c r="BY164" s="5" t="str">
        <f t="shared" si="221"/>
        <v>нет</v>
      </c>
      <c r="BZ164" s="5" t="str">
        <f t="shared" si="258"/>
        <v>x</v>
      </c>
      <c r="CA164" s="5" t="str">
        <f t="shared" si="258"/>
        <v>x</v>
      </c>
      <c r="CB164" s="5" t="str">
        <f t="shared" si="258"/>
        <v>x</v>
      </c>
      <c r="CC164" s="5" t="str">
        <f>"1980"</f>
        <v>1980</v>
      </c>
      <c r="CD164" s="5" t="str">
        <f>"45,00"</f>
        <v>45,00</v>
      </c>
      <c r="CE164" s="5" t="str">
        <f>"2022"</f>
        <v>2022</v>
      </c>
      <c r="CF164" s="5" t="str">
        <f>"1980"</f>
        <v>1980</v>
      </c>
      <c r="CG164" s="5" t="str">
        <f>"50,00"</f>
        <v>50,00</v>
      </c>
      <c r="CH164" s="5" t="str">
        <f>"2020"</f>
        <v>2020</v>
      </c>
      <c r="CI164" s="5" t="str">
        <f>"38,00"</f>
        <v>38,00</v>
      </c>
      <c r="CJ164" s="5" t="str">
        <f>"2025"</f>
        <v>2025</v>
      </c>
    </row>
    <row r="165" spans="1:88" ht="11.25" customHeight="1">
      <c r="A165" s="3" t="str">
        <f>"1.152"</f>
        <v>1.152</v>
      </c>
      <c r="B165" s="4" t="str">
        <f>"г. Грязовец, ул. Ленина, д.54"</f>
        <v>г. Грязовец, ул. Ленина, д.54</v>
      </c>
      <c r="C165" s="7" t="str">
        <f>"1917"</f>
        <v>1917</v>
      </c>
      <c r="D165" s="5" t="str">
        <f>"2001"</f>
        <v>2001</v>
      </c>
      <c r="E165" s="5" t="str">
        <f>"28,00"</f>
        <v>28,00</v>
      </c>
      <c r="F165" s="5" t="str">
        <f>"2030"</f>
        <v>2030</v>
      </c>
      <c r="G165" s="5" t="str">
        <f>"да"</f>
        <v>да</v>
      </c>
      <c r="H165" s="5" t="str">
        <f>"2001"</f>
        <v>2001</v>
      </c>
      <c r="I165" s="5" t="str">
        <f>"28,00"</f>
        <v>28,00</v>
      </c>
      <c r="J165" s="5" t="str">
        <f>"2030"</f>
        <v>2030</v>
      </c>
      <c r="K165" s="5" t="str">
        <f>"да"</f>
        <v>да</v>
      </c>
      <c r="L165" s="5" t="str">
        <f>"2001"</f>
        <v>2001</v>
      </c>
      <c r="M165" s="5" t="str">
        <f>"28,00"</f>
        <v>28,00</v>
      </c>
      <c r="N165" s="5" t="str">
        <f>"2030"</f>
        <v>2030</v>
      </c>
      <c r="O165" s="8" t="str">
        <f>"2001"</f>
        <v>2001</v>
      </c>
      <c r="P165" s="5" t="str">
        <f>"26,00"</f>
        <v>26,00</v>
      </c>
      <c r="Q165" s="5" t="str">
        <f>"2030"</f>
        <v>2030</v>
      </c>
      <c r="R165" s="5" t="str">
        <f t="shared" si="251"/>
        <v>нет</v>
      </c>
      <c r="S165" s="5" t="str">
        <f>""</f>
        <v/>
      </c>
      <c r="T165" s="5" t="str">
        <f>""</f>
        <v/>
      </c>
      <c r="U165" s="5" t="str">
        <f>""</f>
        <v/>
      </c>
      <c r="V165" s="5" t="str">
        <f t="shared" si="252"/>
        <v>нет</v>
      </c>
      <c r="W165" s="5" t="str">
        <f>""</f>
        <v/>
      </c>
      <c r="X165" s="5" t="str">
        <f>""</f>
        <v/>
      </c>
      <c r="Y165" s="9" t="str">
        <f>""</f>
        <v/>
      </c>
      <c r="Z165" s="5" t="str">
        <f>"2001"</f>
        <v>2001</v>
      </c>
      <c r="AA165" s="5" t="str">
        <f>"25,00"</f>
        <v>25,00</v>
      </c>
      <c r="AB165" s="5" t="str">
        <f>"2030"</f>
        <v>2030</v>
      </c>
      <c r="AC165" s="5" t="str">
        <f t="shared" si="248"/>
        <v>нет</v>
      </c>
      <c r="AD165" s="5" t="str">
        <f>""</f>
        <v/>
      </c>
      <c r="AE165" s="5" t="str">
        <f>""</f>
        <v/>
      </c>
      <c r="AF165" s="5" t="str">
        <f>""</f>
        <v/>
      </c>
      <c r="AG165" s="5" t="str">
        <f>"нет"</f>
        <v>нет</v>
      </c>
      <c r="AH165" s="5" t="str">
        <f>""</f>
        <v/>
      </c>
      <c r="AI165" s="5" t="str">
        <f>""</f>
        <v/>
      </c>
      <c r="AJ165" s="5" t="str">
        <f>""</f>
        <v/>
      </c>
      <c r="AK165" s="8" t="str">
        <f>"2001"</f>
        <v>2001</v>
      </c>
      <c r="AL165" s="5" t="str">
        <f>"30,00"</f>
        <v>30,00</v>
      </c>
      <c r="AM165" s="5" t="str">
        <f>"2030"</f>
        <v>2030</v>
      </c>
      <c r="AN165" s="5" t="str">
        <f t="shared" si="245"/>
        <v>нет</v>
      </c>
      <c r="AO165" s="5" t="str">
        <f>""</f>
        <v/>
      </c>
      <c r="AP165" s="5" t="str">
        <f>""</f>
        <v/>
      </c>
      <c r="AQ165" s="5" t="str">
        <f>""</f>
        <v/>
      </c>
      <c r="AR165" s="5" t="str">
        <f t="shared" si="254"/>
        <v>нет</v>
      </c>
      <c r="AS165" s="5" t="str">
        <f>""</f>
        <v/>
      </c>
      <c r="AT165" s="5" t="str">
        <f>""</f>
        <v/>
      </c>
      <c r="AU165" s="5" t="str">
        <f>""</f>
        <v/>
      </c>
      <c r="AV165" s="5" t="str">
        <f>"2001"</f>
        <v>2001</v>
      </c>
      <c r="AW165" s="5" t="str">
        <f>"30,00"</f>
        <v>30,00</v>
      </c>
      <c r="AX165" s="5" t="str">
        <f>"2030"</f>
        <v>2030</v>
      </c>
      <c r="AY165" s="5" t="str">
        <f>"нет"</f>
        <v>нет</v>
      </c>
      <c r="AZ165" s="5" t="str">
        <f>""</f>
        <v/>
      </c>
      <c r="BA165" s="5" t="str">
        <f>""</f>
        <v/>
      </c>
      <c r="BB165" s="5" t="str">
        <f>""</f>
        <v/>
      </c>
      <c r="BC165" s="5" t="str">
        <f>"нет"</f>
        <v>нет</v>
      </c>
      <c r="BD165" s="5" t="str">
        <f>""</f>
        <v/>
      </c>
      <c r="BE165" s="5" t="str">
        <f>""</f>
        <v/>
      </c>
      <c r="BF165" s="5" t="str">
        <f>""</f>
        <v/>
      </c>
      <c r="BG165" s="5" t="str">
        <f>"2001"</f>
        <v>2001</v>
      </c>
      <c r="BH165" s="5" t="str">
        <f>"35,00"</f>
        <v>35,00</v>
      </c>
      <c r="BI165" s="5" t="str">
        <f>"2030"</f>
        <v>2030</v>
      </c>
      <c r="BJ165" s="5" t="str">
        <f t="shared" ref="BJ165:BJ178" si="259">"нет"</f>
        <v>нет</v>
      </c>
      <c r="BK165" s="5" t="str">
        <f>""</f>
        <v/>
      </c>
      <c r="BL165" s="5" t="str">
        <f>""</f>
        <v/>
      </c>
      <c r="BM165" s="5" t="str">
        <f>""</f>
        <v/>
      </c>
      <c r="BN165" s="5" t="str">
        <f t="shared" ref="BN165:BN178" si="260">"нет"</f>
        <v>нет</v>
      </c>
      <c r="BO165" s="5" t="str">
        <f>""</f>
        <v/>
      </c>
      <c r="BP165" s="5" t="str">
        <f>""</f>
        <v/>
      </c>
      <c r="BQ165" s="5" t="str">
        <f>""</f>
        <v/>
      </c>
      <c r="BR165" s="5" t="str">
        <f>"2001"</f>
        <v>2001</v>
      </c>
      <c r="BS165" s="5" t="str">
        <f>"26,00"</f>
        <v>26,00</v>
      </c>
      <c r="BT165" s="5" t="str">
        <f>"2030"</f>
        <v>2030</v>
      </c>
      <c r="BU165" s="5" t="str">
        <f t="shared" si="223"/>
        <v>нет</v>
      </c>
      <c r="BV165" s="5" t="str">
        <f t="shared" si="234"/>
        <v>x</v>
      </c>
      <c r="BW165" s="5" t="str">
        <f t="shared" si="234"/>
        <v>x</v>
      </c>
      <c r="BX165" s="5" t="str">
        <f t="shared" si="234"/>
        <v>x</v>
      </c>
      <c r="BY165" s="5" t="str">
        <f t="shared" si="221"/>
        <v>нет</v>
      </c>
      <c r="BZ165" s="5" t="str">
        <f t="shared" si="258"/>
        <v>x</v>
      </c>
      <c r="CA165" s="5" t="str">
        <f t="shared" si="258"/>
        <v>x</v>
      </c>
      <c r="CB165" s="5" t="str">
        <f t="shared" si="258"/>
        <v>x</v>
      </c>
      <c r="CC165" s="5" t="str">
        <f>"2001"</f>
        <v>2001</v>
      </c>
      <c r="CD165" s="5" t="str">
        <f>"25,00"</f>
        <v>25,00</v>
      </c>
      <c r="CE165" s="5" t="str">
        <f>"2030"</f>
        <v>2030</v>
      </c>
      <c r="CF165" s="5" t="str">
        <f>"2001"</f>
        <v>2001</v>
      </c>
      <c r="CG165" s="5" t="str">
        <f>"26,00"</f>
        <v>26,00</v>
      </c>
      <c r="CH165" s="5" t="str">
        <f>"2030"</f>
        <v>2030</v>
      </c>
      <c r="CI165" s="5" t="str">
        <f>"26,00"</f>
        <v>26,00</v>
      </c>
      <c r="CJ165" s="5" t="str">
        <f>"2030"</f>
        <v>2030</v>
      </c>
    </row>
    <row r="166" spans="1:88" ht="11.25" customHeight="1">
      <c r="A166" s="3" t="str">
        <f>"1.153"</f>
        <v>1.153</v>
      </c>
      <c r="B166" s="4" t="str">
        <f>"г. Грязовец, ул. Ленина, д.56"</f>
        <v>г. Грязовец, ул. Ленина, д.56</v>
      </c>
      <c r="C166" s="7" t="str">
        <f>"1950"</f>
        <v>1950</v>
      </c>
      <c r="D166" s="5" t="str">
        <f>"1970"</f>
        <v>1970</v>
      </c>
      <c r="E166" s="5" t="str">
        <f>"65,00"</f>
        <v>65,00</v>
      </c>
      <c r="F166" s="5" t="str">
        <f>"2019"</f>
        <v>2019</v>
      </c>
      <c r="G166" s="5" t="str">
        <f>"да"</f>
        <v>да</v>
      </c>
      <c r="H166" s="5" t="str">
        <f>"1970"</f>
        <v>1970</v>
      </c>
      <c r="I166" s="5" t="str">
        <f>"65,00"</f>
        <v>65,00</v>
      </c>
      <c r="J166" s="5" t="str">
        <f>"2019"</f>
        <v>2019</v>
      </c>
      <c r="K166" s="5" t="str">
        <f>"да"</f>
        <v>да</v>
      </c>
      <c r="L166" s="5" t="str">
        <f>"1970"</f>
        <v>1970</v>
      </c>
      <c r="M166" s="5" t="str">
        <f>"65,00"</f>
        <v>65,00</v>
      </c>
      <c r="N166" s="5" t="str">
        <f>"2019"</f>
        <v>2019</v>
      </c>
      <c r="O166" s="8" t="str">
        <f>"1970"</f>
        <v>1970</v>
      </c>
      <c r="P166" s="5" t="str">
        <f>"60,00"</f>
        <v>60,00</v>
      </c>
      <c r="Q166" s="5" t="str">
        <f>"2019"</f>
        <v>2019</v>
      </c>
      <c r="R166" s="5" t="str">
        <f t="shared" si="251"/>
        <v>нет</v>
      </c>
      <c r="S166" s="5" t="str">
        <f t="shared" ref="S166:U167" si="261">"х"</f>
        <v>х</v>
      </c>
      <c r="T166" s="5" t="str">
        <f t="shared" si="261"/>
        <v>х</v>
      </c>
      <c r="U166" s="5" t="str">
        <f t="shared" si="261"/>
        <v>х</v>
      </c>
      <c r="V166" s="5" t="str">
        <f t="shared" si="252"/>
        <v>нет</v>
      </c>
      <c r="W166" s="5" t="str">
        <f t="shared" ref="W166:Y167" si="262">"х"</f>
        <v>х</v>
      </c>
      <c r="X166" s="5" t="str">
        <f t="shared" si="262"/>
        <v>х</v>
      </c>
      <c r="Y166" s="9" t="str">
        <f t="shared" si="262"/>
        <v>х</v>
      </c>
      <c r="Z166" s="5" t="str">
        <f>"1970"</f>
        <v>1970</v>
      </c>
      <c r="AA166" s="5" t="str">
        <f>"60,00"</f>
        <v>60,00</v>
      </c>
      <c r="AB166" s="5" t="str">
        <f>"2019"</f>
        <v>2019</v>
      </c>
      <c r="AC166" s="5" t="str">
        <f t="shared" si="248"/>
        <v>нет</v>
      </c>
      <c r="AD166" s="5" t="str">
        <f t="shared" ref="AD166:AJ166" si="263">"х"</f>
        <v>х</v>
      </c>
      <c r="AE166" s="5" t="str">
        <f t="shared" si="263"/>
        <v>х</v>
      </c>
      <c r="AF166" s="5" t="str">
        <f t="shared" si="263"/>
        <v>х</v>
      </c>
      <c r="AG166" s="5" t="str">
        <f t="shared" si="263"/>
        <v>х</v>
      </c>
      <c r="AH166" s="5" t="str">
        <f t="shared" si="263"/>
        <v>х</v>
      </c>
      <c r="AI166" s="5" t="str">
        <f t="shared" si="263"/>
        <v>х</v>
      </c>
      <c r="AJ166" s="5" t="str">
        <f t="shared" si="263"/>
        <v>х</v>
      </c>
      <c r="AK166" s="8" t="str">
        <f>"1970"</f>
        <v>1970</v>
      </c>
      <c r="AL166" s="5" t="str">
        <f>"65,00"</f>
        <v>65,00</v>
      </c>
      <c r="AM166" s="5" t="str">
        <f>"2019"</f>
        <v>2019</v>
      </c>
      <c r="AN166" s="5" t="str">
        <f t="shared" si="245"/>
        <v>нет</v>
      </c>
      <c r="AO166" s="5" t="str">
        <f t="shared" ref="AO166:AQ167" si="264">"х"</f>
        <v>х</v>
      </c>
      <c r="AP166" s="5" t="str">
        <f t="shared" si="264"/>
        <v>х</v>
      </c>
      <c r="AQ166" s="5" t="str">
        <f t="shared" si="264"/>
        <v>х</v>
      </c>
      <c r="AR166" s="5" t="str">
        <f t="shared" si="254"/>
        <v>нет</v>
      </c>
      <c r="AS166" s="5" t="str">
        <f t="shared" ref="AS166:AU167" si="265">"х"</f>
        <v>х</v>
      </c>
      <c r="AT166" s="5" t="str">
        <f t="shared" si="265"/>
        <v>х</v>
      </c>
      <c r="AU166" s="5" t="str">
        <f t="shared" si="265"/>
        <v>х</v>
      </c>
      <c r="AV166" s="5" t="str">
        <f>"1970"</f>
        <v>1970</v>
      </c>
      <c r="AW166" s="5" t="str">
        <f>"65,00"</f>
        <v>65,00</v>
      </c>
      <c r="AX166" s="5" t="str">
        <f>"2019"</f>
        <v>2019</v>
      </c>
      <c r="AY166" s="5" t="str">
        <f>"нет"</f>
        <v>нет</v>
      </c>
      <c r="AZ166" s="5" t="str">
        <f t="shared" ref="AZ166:BB171" si="266">"х"</f>
        <v>х</v>
      </c>
      <c r="BA166" s="5" t="str">
        <f t="shared" si="266"/>
        <v>х</v>
      </c>
      <c r="BB166" s="5" t="str">
        <f t="shared" si="266"/>
        <v>х</v>
      </c>
      <c r="BC166" s="5" t="str">
        <f>"нет"</f>
        <v>нет</v>
      </c>
      <c r="BD166" s="5" t="str">
        <f t="shared" ref="BD166:BF171" si="267">"х"</f>
        <v>х</v>
      </c>
      <c r="BE166" s="5" t="str">
        <f t="shared" si="267"/>
        <v>х</v>
      </c>
      <c r="BF166" s="5" t="str">
        <f t="shared" si="267"/>
        <v>х</v>
      </c>
      <c r="BG166" s="5" t="str">
        <f>"1970"</f>
        <v>1970</v>
      </c>
      <c r="BH166" s="5" t="str">
        <f>"65,00"</f>
        <v>65,00</v>
      </c>
      <c r="BI166" s="5" t="str">
        <f>"2019"</f>
        <v>2019</v>
      </c>
      <c r="BJ166" s="5" t="str">
        <f t="shared" si="259"/>
        <v>нет</v>
      </c>
      <c r="BK166" s="5" t="str">
        <f t="shared" ref="BK166:BM167" si="268">"х"</f>
        <v>х</v>
      </c>
      <c r="BL166" s="5" t="str">
        <f t="shared" si="268"/>
        <v>х</v>
      </c>
      <c r="BM166" s="5" t="str">
        <f t="shared" si="268"/>
        <v>х</v>
      </c>
      <c r="BN166" s="5" t="str">
        <f t="shared" si="260"/>
        <v>нет</v>
      </c>
      <c r="BO166" s="5" t="str">
        <f t="shared" ref="BO166:BQ167" si="269">"х"</f>
        <v>х</v>
      </c>
      <c r="BP166" s="5" t="str">
        <f t="shared" si="269"/>
        <v>х</v>
      </c>
      <c r="BQ166" s="5" t="str">
        <f t="shared" si="269"/>
        <v>х</v>
      </c>
      <c r="BR166" s="5" t="str">
        <f>"1970"</f>
        <v>1970</v>
      </c>
      <c r="BS166" s="5" t="str">
        <f>"65,00"</f>
        <v>65,00</v>
      </c>
      <c r="BT166" s="5" t="str">
        <f>"2019"</f>
        <v>2019</v>
      </c>
      <c r="BU166" s="5" t="str">
        <f t="shared" si="223"/>
        <v>нет</v>
      </c>
      <c r="BV166" s="5" t="str">
        <f t="shared" si="234"/>
        <v>x</v>
      </c>
      <c r="BW166" s="5" t="str">
        <f t="shared" si="234"/>
        <v>x</v>
      </c>
      <c r="BX166" s="5" t="str">
        <f t="shared" si="234"/>
        <v>x</v>
      </c>
      <c r="BY166" s="5" t="str">
        <f t="shared" si="221"/>
        <v>нет</v>
      </c>
      <c r="BZ166" s="5" t="str">
        <f t="shared" si="258"/>
        <v>x</v>
      </c>
      <c r="CA166" s="5" t="str">
        <f t="shared" si="258"/>
        <v>x</v>
      </c>
      <c r="CB166" s="5" t="str">
        <f t="shared" si="258"/>
        <v>x</v>
      </c>
      <c r="CC166" s="5" t="str">
        <f>"1970"</f>
        <v>1970</v>
      </c>
      <c r="CD166" s="5" t="str">
        <f>"60,00"</f>
        <v>60,00</v>
      </c>
      <c r="CE166" s="5" t="str">
        <f>"2019"</f>
        <v>2019</v>
      </c>
      <c r="CF166" s="5" t="str">
        <f>"1970"</f>
        <v>1970</v>
      </c>
      <c r="CG166" s="5" t="str">
        <f>"60,00"</f>
        <v>60,00</v>
      </c>
      <c r="CH166" s="5" t="str">
        <f>"2019"</f>
        <v>2019</v>
      </c>
      <c r="CI166" s="5" t="str">
        <f>"59,00"</f>
        <v>59,00</v>
      </c>
      <c r="CJ166" s="5" t="str">
        <f>"2019"</f>
        <v>2019</v>
      </c>
    </row>
    <row r="167" spans="1:88" ht="11.25" customHeight="1">
      <c r="A167" s="3" t="str">
        <f>"1.154"</f>
        <v>1.154</v>
      </c>
      <c r="B167" s="4" t="str">
        <f>"г. Грязовец, ул. Ленина, д.58"</f>
        <v>г. Грязовец, ул. Ленина, д.58</v>
      </c>
      <c r="C167" s="7" t="str">
        <f>"1888"</f>
        <v>1888</v>
      </c>
      <c r="D167" s="5" t="str">
        <f>"1970"</f>
        <v>1970</v>
      </c>
      <c r="E167" s="5" t="str">
        <f>"70,00"</f>
        <v>70,00</v>
      </c>
      <c r="F167" s="5" t="str">
        <f>"2019"</f>
        <v>2019</v>
      </c>
      <c r="G167" s="5" t="str">
        <f>"да"</f>
        <v>да</v>
      </c>
      <c r="H167" s="5" t="str">
        <f>"1970"</f>
        <v>1970</v>
      </c>
      <c r="I167" s="5" t="str">
        <f>"70,00"</f>
        <v>70,00</v>
      </c>
      <c r="J167" s="5" t="str">
        <f>"2019"</f>
        <v>2019</v>
      </c>
      <c r="K167" s="5" t="str">
        <f>"да"</f>
        <v>да</v>
      </c>
      <c r="L167" s="5" t="str">
        <f>"1970"</f>
        <v>1970</v>
      </c>
      <c r="M167" s="5" t="str">
        <f>"70,00"</f>
        <v>70,00</v>
      </c>
      <c r="N167" s="5" t="str">
        <f>"2019"</f>
        <v>2019</v>
      </c>
      <c r="O167" s="8" t="str">
        <f>"1970"</f>
        <v>1970</v>
      </c>
      <c r="P167" s="5" t="str">
        <f>"65,00"</f>
        <v>65,00</v>
      </c>
      <c r="Q167" s="5" t="str">
        <f>"2019"</f>
        <v>2019</v>
      </c>
      <c r="R167" s="5" t="str">
        <f t="shared" si="251"/>
        <v>нет</v>
      </c>
      <c r="S167" s="5" t="str">
        <f t="shared" si="261"/>
        <v>х</v>
      </c>
      <c r="T167" s="5" t="str">
        <f t="shared" si="261"/>
        <v>х</v>
      </c>
      <c r="U167" s="5" t="str">
        <f t="shared" si="261"/>
        <v>х</v>
      </c>
      <c r="V167" s="5" t="str">
        <f t="shared" si="252"/>
        <v>нет</v>
      </c>
      <c r="W167" s="5" t="str">
        <f t="shared" si="262"/>
        <v>х</v>
      </c>
      <c r="X167" s="5" t="str">
        <f t="shared" si="262"/>
        <v>х</v>
      </c>
      <c r="Y167" s="9" t="str">
        <f t="shared" si="262"/>
        <v>х</v>
      </c>
      <c r="Z167" s="5" t="str">
        <f>"1970"</f>
        <v>1970</v>
      </c>
      <c r="AA167" s="5" t="str">
        <f>"60,00"</f>
        <v>60,00</v>
      </c>
      <c r="AB167" s="5" t="str">
        <f>"2019"</f>
        <v>2019</v>
      </c>
      <c r="AC167" s="5" t="str">
        <f t="shared" si="248"/>
        <v>нет</v>
      </c>
      <c r="AD167" s="5" t="str">
        <f>""</f>
        <v/>
      </c>
      <c r="AE167" s="5" t="str">
        <f>""</f>
        <v/>
      </c>
      <c r="AF167" s="5" t="str">
        <f>""</f>
        <v/>
      </c>
      <c r="AG167" s="5" t="str">
        <f>"нет"</f>
        <v>нет</v>
      </c>
      <c r="AH167" s="5" t="str">
        <f>""</f>
        <v/>
      </c>
      <c r="AI167" s="5" t="str">
        <f>""</f>
        <v/>
      </c>
      <c r="AJ167" s="5" t="str">
        <f>""</f>
        <v/>
      </c>
      <c r="AK167" s="8" t="str">
        <f>"1970"</f>
        <v>1970</v>
      </c>
      <c r="AL167" s="5" t="str">
        <f>"60,00"</f>
        <v>60,00</v>
      </c>
      <c r="AM167" s="5" t="str">
        <f>"2019"</f>
        <v>2019</v>
      </c>
      <c r="AN167" s="5" t="str">
        <f t="shared" si="245"/>
        <v>нет</v>
      </c>
      <c r="AO167" s="5" t="str">
        <f t="shared" si="264"/>
        <v>х</v>
      </c>
      <c r="AP167" s="5" t="str">
        <f t="shared" si="264"/>
        <v>х</v>
      </c>
      <c r="AQ167" s="5" t="str">
        <f t="shared" si="264"/>
        <v>х</v>
      </c>
      <c r="AR167" s="5" t="str">
        <f t="shared" si="254"/>
        <v>нет</v>
      </c>
      <c r="AS167" s="5" t="str">
        <f t="shared" si="265"/>
        <v>х</v>
      </c>
      <c r="AT167" s="5" t="str">
        <f t="shared" si="265"/>
        <v>х</v>
      </c>
      <c r="AU167" s="5" t="str">
        <f t="shared" si="265"/>
        <v>х</v>
      </c>
      <c r="AV167" s="5" t="str">
        <f t="shared" ref="AV167:AY171" si="270">"х"</f>
        <v>х</v>
      </c>
      <c r="AW167" s="5" t="str">
        <f t="shared" si="270"/>
        <v>х</v>
      </c>
      <c r="AX167" s="5" t="str">
        <f t="shared" si="270"/>
        <v>х</v>
      </c>
      <c r="AY167" s="5" t="str">
        <f t="shared" si="270"/>
        <v>х</v>
      </c>
      <c r="AZ167" s="5" t="str">
        <f t="shared" si="266"/>
        <v>х</v>
      </c>
      <c r="BA167" s="5" t="str">
        <f t="shared" si="266"/>
        <v>х</v>
      </c>
      <c r="BB167" s="5" t="str">
        <f t="shared" si="266"/>
        <v>х</v>
      </c>
      <c r="BC167" s="5" t="str">
        <f>"х"</f>
        <v>х</v>
      </c>
      <c r="BD167" s="5" t="str">
        <f t="shared" si="267"/>
        <v>х</v>
      </c>
      <c r="BE167" s="5" t="str">
        <f t="shared" si="267"/>
        <v>х</v>
      </c>
      <c r="BF167" s="5" t="str">
        <f t="shared" si="267"/>
        <v>х</v>
      </c>
      <c r="BG167" s="5" t="str">
        <f>"1970"</f>
        <v>1970</v>
      </c>
      <c r="BH167" s="5" t="str">
        <f>"60,00"</f>
        <v>60,00</v>
      </c>
      <c r="BI167" s="5" t="str">
        <f>"2019"</f>
        <v>2019</v>
      </c>
      <c r="BJ167" s="5" t="str">
        <f t="shared" si="259"/>
        <v>нет</v>
      </c>
      <c r="BK167" s="5" t="str">
        <f t="shared" si="268"/>
        <v>х</v>
      </c>
      <c r="BL167" s="5" t="str">
        <f t="shared" si="268"/>
        <v>х</v>
      </c>
      <c r="BM167" s="5" t="str">
        <f t="shared" si="268"/>
        <v>х</v>
      </c>
      <c r="BN167" s="5" t="str">
        <f t="shared" si="260"/>
        <v>нет</v>
      </c>
      <c r="BO167" s="5" t="str">
        <f t="shared" si="269"/>
        <v>х</v>
      </c>
      <c r="BP167" s="5" t="str">
        <f t="shared" si="269"/>
        <v>х</v>
      </c>
      <c r="BQ167" s="5" t="str">
        <f t="shared" si="269"/>
        <v>х</v>
      </c>
      <c r="BR167" s="5" t="str">
        <f>"1970"</f>
        <v>1970</v>
      </c>
      <c r="BS167" s="5" t="str">
        <f>"60,00"</f>
        <v>60,00</v>
      </c>
      <c r="BT167" s="5" t="str">
        <f>"2019"</f>
        <v>2019</v>
      </c>
      <c r="BU167" s="5" t="str">
        <f t="shared" si="223"/>
        <v>нет</v>
      </c>
      <c r="BV167" s="5" t="str">
        <f t="shared" si="234"/>
        <v>x</v>
      </c>
      <c r="BW167" s="5" t="str">
        <f t="shared" si="234"/>
        <v>x</v>
      </c>
      <c r="BX167" s="5" t="str">
        <f t="shared" si="234"/>
        <v>x</v>
      </c>
      <c r="BY167" s="5" t="str">
        <f t="shared" si="221"/>
        <v>нет</v>
      </c>
      <c r="BZ167" s="5" t="str">
        <f t="shared" si="258"/>
        <v>x</v>
      </c>
      <c r="CA167" s="5" t="str">
        <f t="shared" si="258"/>
        <v>x</v>
      </c>
      <c r="CB167" s="5" t="str">
        <f t="shared" si="258"/>
        <v>x</v>
      </c>
      <c r="CC167" s="5" t="str">
        <f>"1970"</f>
        <v>1970</v>
      </c>
      <c r="CD167" s="5" t="str">
        <f>"60,00"</f>
        <v>60,00</v>
      </c>
      <c r="CE167" s="5" t="str">
        <f>"2020"</f>
        <v>2020</v>
      </c>
      <c r="CF167" s="5" t="str">
        <f>"1970"</f>
        <v>1970</v>
      </c>
      <c r="CG167" s="5" t="str">
        <f>"50,00"</f>
        <v>50,00</v>
      </c>
      <c r="CH167" s="5" t="str">
        <f>"2020"</f>
        <v>2020</v>
      </c>
      <c r="CI167" s="5" t="str">
        <f>"63,00"</f>
        <v>63,00</v>
      </c>
      <c r="CJ167" s="5" t="str">
        <f>"2020"</f>
        <v>2020</v>
      </c>
    </row>
    <row r="168" spans="1:88" ht="11.25" customHeight="1">
      <c r="A168" s="3" t="str">
        <f>"1.155"</f>
        <v>1.155</v>
      </c>
      <c r="B168" s="4" t="str">
        <f>"г. Грязовец, ул. Ленина, д.6"</f>
        <v>г. Грязовец, ул. Ленина, д.6</v>
      </c>
      <c r="C168" s="7" t="str">
        <f>"1997"</f>
        <v>1997</v>
      </c>
      <c r="D168" s="5" t="str">
        <f>""</f>
        <v/>
      </c>
      <c r="E168" s="5" t="str">
        <f>"5,00"</f>
        <v>5,00</v>
      </c>
      <c r="F168" s="5" t="str">
        <f>"2038"</f>
        <v>2038</v>
      </c>
      <c r="G168" s="5" t="str">
        <f>"нет"</f>
        <v>нет</v>
      </c>
      <c r="H168" s="5" t="str">
        <f>""</f>
        <v/>
      </c>
      <c r="I168" s="5" t="str">
        <f>""</f>
        <v/>
      </c>
      <c r="J168" s="5" t="str">
        <f>""</f>
        <v/>
      </c>
      <c r="K168" s="5" t="str">
        <f>"нет"</f>
        <v>нет</v>
      </c>
      <c r="L168" s="5" t="str">
        <f>""</f>
        <v/>
      </c>
      <c r="M168" s="5" t="str">
        <f>""</f>
        <v/>
      </c>
      <c r="N168" s="5" t="str">
        <f>""</f>
        <v/>
      </c>
      <c r="O168" s="8" t="str">
        <f>""</f>
        <v/>
      </c>
      <c r="P168" s="5" t="str">
        <f>"10,00"</f>
        <v>10,00</v>
      </c>
      <c r="Q168" s="5" t="str">
        <f>"2038"</f>
        <v>2038</v>
      </c>
      <c r="R168" s="5" t="str">
        <f t="shared" si="251"/>
        <v>нет</v>
      </c>
      <c r="S168" s="5" t="str">
        <f>""</f>
        <v/>
      </c>
      <c r="T168" s="5" t="str">
        <f>""</f>
        <v/>
      </c>
      <c r="U168" s="5" t="str">
        <f>""</f>
        <v/>
      </c>
      <c r="V168" s="5" t="str">
        <f t="shared" si="252"/>
        <v>нет</v>
      </c>
      <c r="W168" s="5" t="str">
        <f>""</f>
        <v/>
      </c>
      <c r="X168" s="5" t="str">
        <f>""</f>
        <v/>
      </c>
      <c r="Y168" s="9" t="str">
        <f>""</f>
        <v/>
      </c>
      <c r="Z168" s="5" t="str">
        <f t="shared" ref="Z168:AJ168" si="271">"х"</f>
        <v>х</v>
      </c>
      <c r="AA168" s="5" t="str">
        <f t="shared" si="271"/>
        <v>х</v>
      </c>
      <c r="AB168" s="5" t="str">
        <f t="shared" si="271"/>
        <v>х</v>
      </c>
      <c r="AC168" s="5" t="str">
        <f t="shared" si="271"/>
        <v>х</v>
      </c>
      <c r="AD168" s="5" t="str">
        <f t="shared" si="271"/>
        <v>х</v>
      </c>
      <c r="AE168" s="5" t="str">
        <f t="shared" si="271"/>
        <v>х</v>
      </c>
      <c r="AF168" s="5" t="str">
        <f t="shared" si="271"/>
        <v>х</v>
      </c>
      <c r="AG168" s="5" t="str">
        <f t="shared" si="271"/>
        <v>х</v>
      </c>
      <c r="AH168" s="5" t="str">
        <f t="shared" si="271"/>
        <v>х</v>
      </c>
      <c r="AI168" s="5" t="str">
        <f t="shared" si="271"/>
        <v>х</v>
      </c>
      <c r="AJ168" s="5" t="str">
        <f t="shared" si="271"/>
        <v>х</v>
      </c>
      <c r="AK168" s="8" t="str">
        <f>""</f>
        <v/>
      </c>
      <c r="AL168" s="5" t="str">
        <f>"10,00"</f>
        <v>10,00</v>
      </c>
      <c r="AM168" s="5" t="str">
        <f>"2038"</f>
        <v>2038</v>
      </c>
      <c r="AN168" s="5" t="str">
        <f t="shared" si="245"/>
        <v>нет</v>
      </c>
      <c r="AO168" s="5" t="str">
        <f>""</f>
        <v/>
      </c>
      <c r="AP168" s="5" t="str">
        <f>""</f>
        <v/>
      </c>
      <c r="AQ168" s="5" t="str">
        <f>""</f>
        <v/>
      </c>
      <c r="AR168" s="5" t="str">
        <f t="shared" si="254"/>
        <v>нет</v>
      </c>
      <c r="AS168" s="5" t="str">
        <f>""</f>
        <v/>
      </c>
      <c r="AT168" s="5" t="str">
        <f>""</f>
        <v/>
      </c>
      <c r="AU168" s="5" t="str">
        <f>""</f>
        <v/>
      </c>
      <c r="AV168" s="5" t="str">
        <f t="shared" si="270"/>
        <v>х</v>
      </c>
      <c r="AW168" s="5" t="str">
        <f t="shared" si="270"/>
        <v>х</v>
      </c>
      <c r="AX168" s="5" t="str">
        <f t="shared" si="270"/>
        <v>х</v>
      </c>
      <c r="AY168" s="5" t="str">
        <f t="shared" si="270"/>
        <v>х</v>
      </c>
      <c r="AZ168" s="5" t="str">
        <f t="shared" si="266"/>
        <v>х</v>
      </c>
      <c r="BA168" s="5" t="str">
        <f t="shared" si="266"/>
        <v>х</v>
      </c>
      <c r="BB168" s="5" t="str">
        <f t="shared" si="266"/>
        <v>х</v>
      </c>
      <c r="BC168" s="5" t="str">
        <f>"х"</f>
        <v>х</v>
      </c>
      <c r="BD168" s="5" t="str">
        <f t="shared" si="267"/>
        <v>х</v>
      </c>
      <c r="BE168" s="5" t="str">
        <f t="shared" si="267"/>
        <v>х</v>
      </c>
      <c r="BF168" s="5" t="str">
        <f t="shared" si="267"/>
        <v>х</v>
      </c>
      <c r="BG168" s="5" t="str">
        <f>""</f>
        <v/>
      </c>
      <c r="BH168" s="5" t="str">
        <f>"10,00"</f>
        <v>10,00</v>
      </c>
      <c r="BI168" s="5" t="str">
        <f>"2038"</f>
        <v>2038</v>
      </c>
      <c r="BJ168" s="5" t="str">
        <f t="shared" si="259"/>
        <v>нет</v>
      </c>
      <c r="BK168" s="5" t="str">
        <f>""</f>
        <v/>
      </c>
      <c r="BL168" s="5" t="str">
        <f>""</f>
        <v/>
      </c>
      <c r="BM168" s="5" t="str">
        <f>""</f>
        <v/>
      </c>
      <c r="BN168" s="5" t="str">
        <f t="shared" si="260"/>
        <v>нет</v>
      </c>
      <c r="BO168" s="5" t="str">
        <f>""</f>
        <v/>
      </c>
      <c r="BP168" s="5" t="str">
        <f>""</f>
        <v/>
      </c>
      <c r="BQ168" s="5" t="str">
        <f>""</f>
        <v/>
      </c>
      <c r="BR168" s="5" t="str">
        <f>""</f>
        <v/>
      </c>
      <c r="BS168" s="5" t="str">
        <f>"10,00"</f>
        <v>10,00</v>
      </c>
      <c r="BT168" s="5" t="str">
        <f>"2038"</f>
        <v>2038</v>
      </c>
      <c r="BU168" s="5" t="str">
        <f t="shared" si="223"/>
        <v>нет</v>
      </c>
      <c r="BV168" s="5" t="str">
        <f t="shared" si="234"/>
        <v>x</v>
      </c>
      <c r="BW168" s="5" t="str">
        <f t="shared" si="234"/>
        <v>x</v>
      </c>
      <c r="BX168" s="5" t="str">
        <f t="shared" si="234"/>
        <v>x</v>
      </c>
      <c r="BY168" s="5" t="str">
        <f t="shared" si="221"/>
        <v>нет</v>
      </c>
      <c r="BZ168" s="5" t="str">
        <f t="shared" si="258"/>
        <v>x</v>
      </c>
      <c r="CA168" s="5" t="str">
        <f t="shared" si="258"/>
        <v>x</v>
      </c>
      <c r="CB168" s="5" t="str">
        <f t="shared" si="258"/>
        <v>x</v>
      </c>
      <c r="CC168" s="5" t="str">
        <f>""</f>
        <v/>
      </c>
      <c r="CD168" s="5" t="str">
        <f>"5,00"</f>
        <v>5,00</v>
      </c>
      <c r="CE168" s="5" t="str">
        <f>"2038"</f>
        <v>2038</v>
      </c>
      <c r="CF168" s="5" t="str">
        <f>""</f>
        <v/>
      </c>
      <c r="CG168" s="5" t="str">
        <f>"5,00"</f>
        <v>5,00</v>
      </c>
      <c r="CH168" s="5" t="str">
        <f>"2038"</f>
        <v>2038</v>
      </c>
      <c r="CI168" s="5" t="str">
        <f>"5,00"</f>
        <v>5,00</v>
      </c>
      <c r="CJ168" s="5" t="str">
        <f>"2044"</f>
        <v>2044</v>
      </c>
    </row>
    <row r="169" spans="1:88" ht="11.25" customHeight="1">
      <c r="A169" s="3" t="str">
        <f>"1.156"</f>
        <v>1.156</v>
      </c>
      <c r="B169" s="4" t="str">
        <f>"г. Грязовец, ул. Ленина, д.61"</f>
        <v>г. Грязовец, ул. Ленина, д.61</v>
      </c>
      <c r="C169" s="7" t="str">
        <f>"1984"</f>
        <v>1984</v>
      </c>
      <c r="D169" s="5" t="str">
        <f>"1960"</f>
        <v>1960</v>
      </c>
      <c r="E169" s="5" t="str">
        <f>"40,00"</f>
        <v>40,00</v>
      </c>
      <c r="F169" s="5" t="str">
        <f>"2019"</f>
        <v>2019</v>
      </c>
      <c r="G169" s="5" t="str">
        <f t="shared" ref="G169:G178" si="272">"да"</f>
        <v>да</v>
      </c>
      <c r="H169" s="5" t="str">
        <f>"1960"</f>
        <v>1960</v>
      </c>
      <c r="I169" s="5" t="str">
        <f>"40,00"</f>
        <v>40,00</v>
      </c>
      <c r="J169" s="5" t="str">
        <f>"2019"</f>
        <v>2019</v>
      </c>
      <c r="K169" s="5" t="str">
        <f t="shared" ref="K169:K178" si="273">"да"</f>
        <v>да</v>
      </c>
      <c r="L169" s="5" t="str">
        <f>"1960"</f>
        <v>1960</v>
      </c>
      <c r="M169" s="5" t="str">
        <f>"40,00"</f>
        <v>40,00</v>
      </c>
      <c r="N169" s="5" t="str">
        <f>"2019"</f>
        <v>2019</v>
      </c>
      <c r="O169" s="8" t="str">
        <f>"1960"</f>
        <v>1960</v>
      </c>
      <c r="P169" s="5" t="str">
        <f>"36,00"</f>
        <v>36,00</v>
      </c>
      <c r="Q169" s="5" t="str">
        <f>"2020"</f>
        <v>2020</v>
      </c>
      <c r="R169" s="5" t="str">
        <f t="shared" si="251"/>
        <v>нет</v>
      </c>
      <c r="S169" s="5" t="str">
        <f t="shared" ref="S169:U171" si="274">"х"</f>
        <v>х</v>
      </c>
      <c r="T169" s="5" t="str">
        <f t="shared" si="274"/>
        <v>х</v>
      </c>
      <c r="U169" s="5" t="str">
        <f t="shared" si="274"/>
        <v>х</v>
      </c>
      <c r="V169" s="5" t="str">
        <f t="shared" si="252"/>
        <v>нет</v>
      </c>
      <c r="W169" s="5" t="str">
        <f t="shared" ref="W169:Y171" si="275">"х"</f>
        <v>х</v>
      </c>
      <c r="X169" s="5" t="str">
        <f t="shared" si="275"/>
        <v>х</v>
      </c>
      <c r="Y169" s="9" t="str">
        <f t="shared" si="275"/>
        <v>х</v>
      </c>
      <c r="Z169" s="5" t="str">
        <f>"1960"</f>
        <v>1960</v>
      </c>
      <c r="AA169" s="5" t="str">
        <f>"40,00"</f>
        <v>40,00</v>
      </c>
      <c r="AB169" s="5" t="str">
        <f>"2020"</f>
        <v>2020</v>
      </c>
      <c r="AC169" s="5" t="str">
        <f>"нет"</f>
        <v>нет</v>
      </c>
      <c r="AD169" s="5" t="str">
        <f>""</f>
        <v/>
      </c>
      <c r="AE169" s="5" t="str">
        <f>""</f>
        <v/>
      </c>
      <c r="AF169" s="5" t="str">
        <f>""</f>
        <v/>
      </c>
      <c r="AG169" s="5" t="str">
        <f>"нет"</f>
        <v>нет</v>
      </c>
      <c r="AH169" s="5" t="str">
        <f>""</f>
        <v/>
      </c>
      <c r="AI169" s="5" t="str">
        <f>""</f>
        <v/>
      </c>
      <c r="AJ169" s="5" t="str">
        <f>""</f>
        <v/>
      </c>
      <c r="AK169" s="8" t="str">
        <f>"1960"</f>
        <v>1960</v>
      </c>
      <c r="AL169" s="5" t="str">
        <f>"40,00"</f>
        <v>40,00</v>
      </c>
      <c r="AM169" s="5" t="str">
        <f>"2021"</f>
        <v>2021</v>
      </c>
      <c r="AN169" s="5" t="str">
        <f t="shared" si="245"/>
        <v>нет</v>
      </c>
      <c r="AO169" s="5" t="str">
        <f t="shared" ref="AO169:AQ171" si="276">"х"</f>
        <v>х</v>
      </c>
      <c r="AP169" s="5" t="str">
        <f t="shared" si="276"/>
        <v>х</v>
      </c>
      <c r="AQ169" s="5" t="str">
        <f t="shared" si="276"/>
        <v>х</v>
      </c>
      <c r="AR169" s="5" t="str">
        <f t="shared" si="254"/>
        <v>нет</v>
      </c>
      <c r="AS169" s="5" t="str">
        <f t="shared" ref="AS169:AU171" si="277">"х"</f>
        <v>х</v>
      </c>
      <c r="AT169" s="5" t="str">
        <f t="shared" si="277"/>
        <v>х</v>
      </c>
      <c r="AU169" s="5" t="str">
        <f t="shared" si="277"/>
        <v>х</v>
      </c>
      <c r="AV169" s="5" t="str">
        <f t="shared" si="270"/>
        <v>х</v>
      </c>
      <c r="AW169" s="5" t="str">
        <f t="shared" si="270"/>
        <v>х</v>
      </c>
      <c r="AX169" s="5" t="str">
        <f t="shared" si="270"/>
        <v>х</v>
      </c>
      <c r="AY169" s="5" t="str">
        <f t="shared" si="270"/>
        <v>х</v>
      </c>
      <c r="AZ169" s="5" t="str">
        <f t="shared" si="266"/>
        <v>х</v>
      </c>
      <c r="BA169" s="5" t="str">
        <f t="shared" si="266"/>
        <v>х</v>
      </c>
      <c r="BB169" s="5" t="str">
        <f t="shared" si="266"/>
        <v>х</v>
      </c>
      <c r="BC169" s="5" t="str">
        <f>"х"</f>
        <v>х</v>
      </c>
      <c r="BD169" s="5" t="str">
        <f t="shared" si="267"/>
        <v>х</v>
      </c>
      <c r="BE169" s="5" t="str">
        <f t="shared" si="267"/>
        <v>х</v>
      </c>
      <c r="BF169" s="5" t="str">
        <f t="shared" si="267"/>
        <v>х</v>
      </c>
      <c r="BG169" s="5" t="str">
        <f>"1960"</f>
        <v>1960</v>
      </c>
      <c r="BH169" s="5" t="str">
        <f>"60,00"</f>
        <v>60,00</v>
      </c>
      <c r="BI169" s="5" t="str">
        <f>"2020"</f>
        <v>2020</v>
      </c>
      <c r="BJ169" s="5" t="str">
        <f t="shared" si="259"/>
        <v>нет</v>
      </c>
      <c r="BK169" s="5" t="str">
        <f t="shared" ref="BK169:BM171" si="278">"х"</f>
        <v>х</v>
      </c>
      <c r="BL169" s="5" t="str">
        <f t="shared" si="278"/>
        <v>х</v>
      </c>
      <c r="BM169" s="5" t="str">
        <f t="shared" si="278"/>
        <v>х</v>
      </c>
      <c r="BN169" s="5" t="str">
        <f t="shared" si="260"/>
        <v>нет</v>
      </c>
      <c r="BO169" s="5" t="str">
        <f t="shared" ref="BO169:BQ171" si="279">"х"</f>
        <v>х</v>
      </c>
      <c r="BP169" s="5" t="str">
        <f t="shared" si="279"/>
        <v>х</v>
      </c>
      <c r="BQ169" s="5" t="str">
        <f t="shared" si="279"/>
        <v>х</v>
      </c>
      <c r="BR169" s="5" t="str">
        <f>"1960"</f>
        <v>1960</v>
      </c>
      <c r="BS169" s="5" t="str">
        <f>"40,00"</f>
        <v>40,00</v>
      </c>
      <c r="BT169" s="5" t="str">
        <f>"2022"</f>
        <v>2022</v>
      </c>
      <c r="BU169" s="5" t="str">
        <f t="shared" si="223"/>
        <v>нет</v>
      </c>
      <c r="BV169" s="5" t="str">
        <f t="shared" si="234"/>
        <v>x</v>
      </c>
      <c r="BW169" s="5" t="str">
        <f t="shared" si="234"/>
        <v>x</v>
      </c>
      <c r="BX169" s="5" t="str">
        <f t="shared" si="234"/>
        <v>x</v>
      </c>
      <c r="BY169" s="5" t="str">
        <f t="shared" si="221"/>
        <v>нет</v>
      </c>
      <c r="BZ169" s="5" t="str">
        <f t="shared" si="258"/>
        <v>x</v>
      </c>
      <c r="CA169" s="5" t="str">
        <f t="shared" si="258"/>
        <v>x</v>
      </c>
      <c r="CB169" s="5" t="str">
        <f t="shared" si="258"/>
        <v>x</v>
      </c>
      <c r="CC169" s="5" t="str">
        <f>"1960"</f>
        <v>1960</v>
      </c>
      <c r="CD169" s="5" t="str">
        <f>"40,00"</f>
        <v>40,00</v>
      </c>
      <c r="CE169" s="5" t="str">
        <f>"2023"</f>
        <v>2023</v>
      </c>
      <c r="CF169" s="5" t="str">
        <f>"1960"</f>
        <v>1960</v>
      </c>
      <c r="CG169" s="5" t="str">
        <f>"40,00"</f>
        <v>40,00</v>
      </c>
      <c r="CH169" s="5" t="str">
        <f>"2022"</f>
        <v>2022</v>
      </c>
      <c r="CI169" s="5" t="str">
        <f>"36,00"</f>
        <v>36,00</v>
      </c>
      <c r="CJ169" s="5" t="str">
        <f>"2026"</f>
        <v>2026</v>
      </c>
    </row>
    <row r="170" spans="1:88" ht="11.25" customHeight="1">
      <c r="A170" s="3" t="str">
        <f>"1.157"</f>
        <v>1.157</v>
      </c>
      <c r="B170" s="4" t="str">
        <f>"г. Грязовец, ул. Ленина, д.62"</f>
        <v>г. Грязовец, ул. Ленина, д.62</v>
      </c>
      <c r="C170" s="7" t="str">
        <f>"1998"</f>
        <v>1998</v>
      </c>
      <c r="D170" s="5" t="str">
        <f>"1960"</f>
        <v>1960</v>
      </c>
      <c r="E170" s="5" t="str">
        <f>"45,00"</f>
        <v>45,00</v>
      </c>
      <c r="F170" s="5" t="str">
        <f>"2020"</f>
        <v>2020</v>
      </c>
      <c r="G170" s="5" t="str">
        <f t="shared" si="272"/>
        <v>да</v>
      </c>
      <c r="H170" s="5" t="str">
        <f>"1960"</f>
        <v>1960</v>
      </c>
      <c r="I170" s="5" t="str">
        <f>"45,00"</f>
        <v>45,00</v>
      </c>
      <c r="J170" s="5" t="str">
        <f>"2020"</f>
        <v>2020</v>
      </c>
      <c r="K170" s="5" t="str">
        <f t="shared" si="273"/>
        <v>да</v>
      </c>
      <c r="L170" s="5" t="str">
        <f>"1960"</f>
        <v>1960</v>
      </c>
      <c r="M170" s="5" t="str">
        <f>"45,00"</f>
        <v>45,00</v>
      </c>
      <c r="N170" s="5" t="str">
        <f>"2020"</f>
        <v>2020</v>
      </c>
      <c r="O170" s="8" t="str">
        <f>"1960"</f>
        <v>1960</v>
      </c>
      <c r="P170" s="5" t="str">
        <f>"43,00"</f>
        <v>43,00</v>
      </c>
      <c r="Q170" s="5" t="str">
        <f>"2019"</f>
        <v>2019</v>
      </c>
      <c r="R170" s="5" t="str">
        <f t="shared" si="251"/>
        <v>нет</v>
      </c>
      <c r="S170" s="5" t="str">
        <f t="shared" si="274"/>
        <v>х</v>
      </c>
      <c r="T170" s="5" t="str">
        <f t="shared" si="274"/>
        <v>х</v>
      </c>
      <c r="U170" s="5" t="str">
        <f t="shared" si="274"/>
        <v>х</v>
      </c>
      <c r="V170" s="5" t="str">
        <f t="shared" si="252"/>
        <v>нет</v>
      </c>
      <c r="W170" s="5" t="str">
        <f t="shared" si="275"/>
        <v>х</v>
      </c>
      <c r="X170" s="5" t="str">
        <f t="shared" si="275"/>
        <v>х</v>
      </c>
      <c r="Y170" s="9" t="str">
        <f t="shared" si="275"/>
        <v>х</v>
      </c>
      <c r="Z170" s="5" t="str">
        <f>"1960"</f>
        <v>1960</v>
      </c>
      <c r="AA170" s="5" t="str">
        <f>"45,00"</f>
        <v>45,00</v>
      </c>
      <c r="AB170" s="5" t="str">
        <f>"2019"</f>
        <v>2019</v>
      </c>
      <c r="AC170" s="5" t="str">
        <f>"нет"</f>
        <v>нет</v>
      </c>
      <c r="AD170" s="5" t="str">
        <f>""</f>
        <v/>
      </c>
      <c r="AE170" s="5" t="str">
        <f>""</f>
        <v/>
      </c>
      <c r="AF170" s="5" t="str">
        <f>""</f>
        <v/>
      </c>
      <c r="AG170" s="5" t="str">
        <f>"нет"</f>
        <v>нет</v>
      </c>
      <c r="AH170" s="5" t="str">
        <f>""</f>
        <v/>
      </c>
      <c r="AI170" s="5" t="str">
        <f>""</f>
        <v/>
      </c>
      <c r="AJ170" s="5" t="str">
        <f>""</f>
        <v/>
      </c>
      <c r="AK170" s="8" t="str">
        <f>"1960"</f>
        <v>1960</v>
      </c>
      <c r="AL170" s="5" t="str">
        <f>"50,00"</f>
        <v>50,00</v>
      </c>
      <c r="AM170" s="5" t="str">
        <f>"2019"</f>
        <v>2019</v>
      </c>
      <c r="AN170" s="5" t="str">
        <f t="shared" si="245"/>
        <v>нет</v>
      </c>
      <c r="AO170" s="5" t="str">
        <f t="shared" si="276"/>
        <v>х</v>
      </c>
      <c r="AP170" s="5" t="str">
        <f t="shared" si="276"/>
        <v>х</v>
      </c>
      <c r="AQ170" s="5" t="str">
        <f t="shared" si="276"/>
        <v>х</v>
      </c>
      <c r="AR170" s="5" t="str">
        <f t="shared" si="254"/>
        <v>нет</v>
      </c>
      <c r="AS170" s="5" t="str">
        <f t="shared" si="277"/>
        <v>х</v>
      </c>
      <c r="AT170" s="5" t="str">
        <f t="shared" si="277"/>
        <v>х</v>
      </c>
      <c r="AU170" s="5" t="str">
        <f t="shared" si="277"/>
        <v>х</v>
      </c>
      <c r="AV170" s="5" t="str">
        <f t="shared" si="270"/>
        <v>х</v>
      </c>
      <c r="AW170" s="5" t="str">
        <f t="shared" si="270"/>
        <v>х</v>
      </c>
      <c r="AX170" s="5" t="str">
        <f t="shared" si="270"/>
        <v>х</v>
      </c>
      <c r="AY170" s="5" t="str">
        <f t="shared" si="270"/>
        <v>х</v>
      </c>
      <c r="AZ170" s="5" t="str">
        <f t="shared" si="266"/>
        <v>х</v>
      </c>
      <c r="BA170" s="5" t="str">
        <f t="shared" si="266"/>
        <v>х</v>
      </c>
      <c r="BB170" s="5" t="str">
        <f t="shared" si="266"/>
        <v>х</v>
      </c>
      <c r="BC170" s="5" t="str">
        <f>"х"</f>
        <v>х</v>
      </c>
      <c r="BD170" s="5" t="str">
        <f t="shared" si="267"/>
        <v>х</v>
      </c>
      <c r="BE170" s="5" t="str">
        <f t="shared" si="267"/>
        <v>х</v>
      </c>
      <c r="BF170" s="5" t="str">
        <f t="shared" si="267"/>
        <v>х</v>
      </c>
      <c r="BG170" s="5" t="str">
        <f>"1960"</f>
        <v>1960</v>
      </c>
      <c r="BH170" s="5" t="str">
        <f>"50,00"</f>
        <v>50,00</v>
      </c>
      <c r="BI170" s="5" t="str">
        <f>"2019"</f>
        <v>2019</v>
      </c>
      <c r="BJ170" s="5" t="str">
        <f t="shared" si="259"/>
        <v>нет</v>
      </c>
      <c r="BK170" s="5" t="str">
        <f t="shared" si="278"/>
        <v>х</v>
      </c>
      <c r="BL170" s="5" t="str">
        <f t="shared" si="278"/>
        <v>х</v>
      </c>
      <c r="BM170" s="5" t="str">
        <f t="shared" si="278"/>
        <v>х</v>
      </c>
      <c r="BN170" s="5" t="str">
        <f t="shared" si="260"/>
        <v>нет</v>
      </c>
      <c r="BO170" s="5" t="str">
        <f t="shared" si="279"/>
        <v>х</v>
      </c>
      <c r="BP170" s="5" t="str">
        <f t="shared" si="279"/>
        <v>х</v>
      </c>
      <c r="BQ170" s="5" t="str">
        <f t="shared" si="279"/>
        <v>х</v>
      </c>
      <c r="BR170" s="5" t="str">
        <f>"1960"</f>
        <v>1960</v>
      </c>
      <c r="BS170" s="5" t="str">
        <f>"43,00"</f>
        <v>43,00</v>
      </c>
      <c r="BT170" s="5" t="str">
        <f>"2019"</f>
        <v>2019</v>
      </c>
      <c r="BU170" s="5" t="str">
        <f t="shared" si="223"/>
        <v>нет</v>
      </c>
      <c r="BV170" s="5" t="str">
        <f t="shared" si="234"/>
        <v>x</v>
      </c>
      <c r="BW170" s="5" t="str">
        <f t="shared" si="234"/>
        <v>x</v>
      </c>
      <c r="BX170" s="5" t="str">
        <f t="shared" si="234"/>
        <v>x</v>
      </c>
      <c r="BY170" s="5" t="str">
        <f t="shared" si="221"/>
        <v>нет</v>
      </c>
      <c r="BZ170" s="5" t="str">
        <f t="shared" si="258"/>
        <v>x</v>
      </c>
      <c r="CA170" s="5" t="str">
        <f t="shared" si="258"/>
        <v>x</v>
      </c>
      <c r="CB170" s="5" t="str">
        <f t="shared" si="258"/>
        <v>x</v>
      </c>
      <c r="CC170" s="5" t="str">
        <f>"1960"</f>
        <v>1960</v>
      </c>
      <c r="CD170" s="5" t="str">
        <f>"43,00"</f>
        <v>43,00</v>
      </c>
      <c r="CE170" s="5" t="str">
        <f>"2019"</f>
        <v>2019</v>
      </c>
      <c r="CF170" s="5" t="str">
        <f>"1960"</f>
        <v>1960</v>
      </c>
      <c r="CG170" s="5" t="str">
        <f>"43,00"</f>
        <v>43,00</v>
      </c>
      <c r="CH170" s="5" t="str">
        <f>"2020"</f>
        <v>2020</v>
      </c>
      <c r="CI170" s="5" t="str">
        <f>"43,00"</f>
        <v>43,00</v>
      </c>
      <c r="CJ170" s="5" t="str">
        <f>"2020"</f>
        <v>2020</v>
      </c>
    </row>
    <row r="171" spans="1:88" ht="11.25" customHeight="1">
      <c r="A171" s="3" t="str">
        <f>"1.158"</f>
        <v>1.158</v>
      </c>
      <c r="B171" s="4" t="str">
        <f>"г. Грязовец, ул. Ленина, д.63"</f>
        <v>г. Грязовец, ул. Ленина, д.63</v>
      </c>
      <c r="C171" s="7" t="str">
        <f>"1939"</f>
        <v>1939</v>
      </c>
      <c r="D171" s="5" t="str">
        <f>"1960"</f>
        <v>1960</v>
      </c>
      <c r="E171" s="5" t="str">
        <f>"40,00"</f>
        <v>40,00</v>
      </c>
      <c r="F171" s="5" t="str">
        <f>"2019"</f>
        <v>2019</v>
      </c>
      <c r="G171" s="5" t="str">
        <f t="shared" si="272"/>
        <v>да</v>
      </c>
      <c r="H171" s="5" t="str">
        <f>"1960"</f>
        <v>1960</v>
      </c>
      <c r="I171" s="5" t="str">
        <f>"40,00"</f>
        <v>40,00</v>
      </c>
      <c r="J171" s="5" t="str">
        <f>"2019"</f>
        <v>2019</v>
      </c>
      <c r="K171" s="5" t="str">
        <f t="shared" si="273"/>
        <v>да</v>
      </c>
      <c r="L171" s="5" t="str">
        <f>"1960"</f>
        <v>1960</v>
      </c>
      <c r="M171" s="5" t="str">
        <f>"40,00"</f>
        <v>40,00</v>
      </c>
      <c r="N171" s="5" t="str">
        <f>"2019"</f>
        <v>2019</v>
      </c>
      <c r="O171" s="8" t="str">
        <f>"1960"</f>
        <v>1960</v>
      </c>
      <c r="P171" s="5" t="str">
        <f>"45,00"</f>
        <v>45,00</v>
      </c>
      <c r="Q171" s="5" t="str">
        <f>"2019"</f>
        <v>2019</v>
      </c>
      <c r="R171" s="5" t="str">
        <f t="shared" si="251"/>
        <v>нет</v>
      </c>
      <c r="S171" s="5" t="str">
        <f t="shared" si="274"/>
        <v>х</v>
      </c>
      <c r="T171" s="5" t="str">
        <f t="shared" si="274"/>
        <v>х</v>
      </c>
      <c r="U171" s="5" t="str">
        <f t="shared" si="274"/>
        <v>х</v>
      </c>
      <c r="V171" s="5" t="str">
        <f t="shared" si="252"/>
        <v>нет</v>
      </c>
      <c r="W171" s="5" t="str">
        <f t="shared" si="275"/>
        <v>х</v>
      </c>
      <c r="X171" s="5" t="str">
        <f t="shared" si="275"/>
        <v>х</v>
      </c>
      <c r="Y171" s="9" t="str">
        <f t="shared" si="275"/>
        <v>х</v>
      </c>
      <c r="Z171" s="5" t="str">
        <f>"1960"</f>
        <v>1960</v>
      </c>
      <c r="AA171" s="5" t="str">
        <f>"40,00"</f>
        <v>40,00</v>
      </c>
      <c r="AB171" s="5" t="str">
        <f>"2019"</f>
        <v>2019</v>
      </c>
      <c r="AC171" s="5" t="str">
        <f>"нет"</f>
        <v>нет</v>
      </c>
      <c r="AD171" s="5" t="str">
        <f>""</f>
        <v/>
      </c>
      <c r="AE171" s="5" t="str">
        <f>""</f>
        <v/>
      </c>
      <c r="AF171" s="5" t="str">
        <f>""</f>
        <v/>
      </c>
      <c r="AG171" s="5" t="str">
        <f>"нет"</f>
        <v>нет</v>
      </c>
      <c r="AH171" s="5" t="str">
        <f>""</f>
        <v/>
      </c>
      <c r="AI171" s="5" t="str">
        <f>""</f>
        <v/>
      </c>
      <c r="AJ171" s="5" t="str">
        <f>""</f>
        <v/>
      </c>
      <c r="AK171" s="8" t="str">
        <f>"1960"</f>
        <v>1960</v>
      </c>
      <c r="AL171" s="5" t="str">
        <f>"40,00"</f>
        <v>40,00</v>
      </c>
      <c r="AM171" s="5" t="str">
        <f>"2019"</f>
        <v>2019</v>
      </c>
      <c r="AN171" s="5" t="str">
        <f t="shared" si="245"/>
        <v>нет</v>
      </c>
      <c r="AO171" s="5" t="str">
        <f t="shared" si="276"/>
        <v>х</v>
      </c>
      <c r="AP171" s="5" t="str">
        <f t="shared" si="276"/>
        <v>х</v>
      </c>
      <c r="AQ171" s="5" t="str">
        <f t="shared" si="276"/>
        <v>х</v>
      </c>
      <c r="AR171" s="5" t="str">
        <f t="shared" si="254"/>
        <v>нет</v>
      </c>
      <c r="AS171" s="5" t="str">
        <f t="shared" si="277"/>
        <v>х</v>
      </c>
      <c r="AT171" s="5" t="str">
        <f t="shared" si="277"/>
        <v>х</v>
      </c>
      <c r="AU171" s="5" t="str">
        <f t="shared" si="277"/>
        <v>х</v>
      </c>
      <c r="AV171" s="5" t="str">
        <f t="shared" si="270"/>
        <v>х</v>
      </c>
      <c r="AW171" s="5" t="str">
        <f t="shared" si="270"/>
        <v>х</v>
      </c>
      <c r="AX171" s="5" t="str">
        <f t="shared" si="270"/>
        <v>х</v>
      </c>
      <c r="AY171" s="5" t="str">
        <f t="shared" si="270"/>
        <v>х</v>
      </c>
      <c r="AZ171" s="5" t="str">
        <f t="shared" si="266"/>
        <v>х</v>
      </c>
      <c r="BA171" s="5" t="str">
        <f t="shared" si="266"/>
        <v>х</v>
      </c>
      <c r="BB171" s="5" t="str">
        <f t="shared" si="266"/>
        <v>х</v>
      </c>
      <c r="BC171" s="5" t="str">
        <f>"х"</f>
        <v>х</v>
      </c>
      <c r="BD171" s="5" t="str">
        <f t="shared" si="267"/>
        <v>х</v>
      </c>
      <c r="BE171" s="5" t="str">
        <f t="shared" si="267"/>
        <v>х</v>
      </c>
      <c r="BF171" s="5" t="str">
        <f t="shared" si="267"/>
        <v>х</v>
      </c>
      <c r="BG171" s="5" t="str">
        <f>"1960"</f>
        <v>1960</v>
      </c>
      <c r="BH171" s="5" t="str">
        <f>"40,00"</f>
        <v>40,00</v>
      </c>
      <c r="BI171" s="5" t="str">
        <f>"2019"</f>
        <v>2019</v>
      </c>
      <c r="BJ171" s="5" t="str">
        <f t="shared" si="259"/>
        <v>нет</v>
      </c>
      <c r="BK171" s="5" t="str">
        <f t="shared" si="278"/>
        <v>х</v>
      </c>
      <c r="BL171" s="5" t="str">
        <f t="shared" si="278"/>
        <v>х</v>
      </c>
      <c r="BM171" s="5" t="str">
        <f t="shared" si="278"/>
        <v>х</v>
      </c>
      <c r="BN171" s="5" t="str">
        <f t="shared" si="260"/>
        <v>нет</v>
      </c>
      <c r="BO171" s="5" t="str">
        <f t="shared" si="279"/>
        <v>х</v>
      </c>
      <c r="BP171" s="5" t="str">
        <f t="shared" si="279"/>
        <v>х</v>
      </c>
      <c r="BQ171" s="5" t="str">
        <f t="shared" si="279"/>
        <v>х</v>
      </c>
      <c r="BR171" s="5" t="str">
        <f>"1960"</f>
        <v>1960</v>
      </c>
      <c r="BS171" s="5" t="str">
        <f>"40,00"</f>
        <v>40,00</v>
      </c>
      <c r="BT171" s="5" t="str">
        <f>"2019"</f>
        <v>2019</v>
      </c>
      <c r="BU171" s="5" t="str">
        <f t="shared" si="223"/>
        <v>нет</v>
      </c>
      <c r="BV171" s="5" t="str">
        <f t="shared" si="234"/>
        <v>x</v>
      </c>
      <c r="BW171" s="5" t="str">
        <f t="shared" si="234"/>
        <v>x</v>
      </c>
      <c r="BX171" s="5" t="str">
        <f t="shared" si="234"/>
        <v>x</v>
      </c>
      <c r="BY171" s="5" t="str">
        <f t="shared" si="221"/>
        <v>нет</v>
      </c>
      <c r="BZ171" s="5" t="str">
        <f t="shared" si="258"/>
        <v>x</v>
      </c>
      <c r="CA171" s="5" t="str">
        <f t="shared" si="258"/>
        <v>x</v>
      </c>
      <c r="CB171" s="5" t="str">
        <f t="shared" si="258"/>
        <v>x</v>
      </c>
      <c r="CC171" s="5" t="str">
        <f>"1960"</f>
        <v>1960</v>
      </c>
      <c r="CD171" s="5" t="str">
        <f>"40,00"</f>
        <v>40,00</v>
      </c>
      <c r="CE171" s="5" t="str">
        <f>"2019"</f>
        <v>2019</v>
      </c>
      <c r="CF171" s="5" t="str">
        <f>"1960"</f>
        <v>1960</v>
      </c>
      <c r="CG171" s="5" t="str">
        <f>"40,00"</f>
        <v>40,00</v>
      </c>
      <c r="CH171" s="5" t="str">
        <f>"2019"</f>
        <v>2019</v>
      </c>
      <c r="CI171" s="5" t="str">
        <f>"33,00"</f>
        <v>33,00</v>
      </c>
      <c r="CJ171" s="5" t="str">
        <f>"2021"</f>
        <v>2021</v>
      </c>
    </row>
    <row r="172" spans="1:88" ht="11.25" customHeight="1">
      <c r="A172" s="3" t="str">
        <f>"1.159"</f>
        <v>1.159</v>
      </c>
      <c r="B172" s="4" t="str">
        <f>"г. Грязовец, ул. Ленина, д.75"</f>
        <v>г. Грязовец, ул. Ленина, д.75</v>
      </c>
      <c r="C172" s="7" t="str">
        <f>"2006"</f>
        <v>2006</v>
      </c>
      <c r="D172" s="5" t="str">
        <f>"2006"</f>
        <v>2006</v>
      </c>
      <c r="E172" s="5" t="str">
        <f>"1,00"</f>
        <v>1,00</v>
      </c>
      <c r="F172" s="5" t="str">
        <f>"2038"</f>
        <v>2038</v>
      </c>
      <c r="G172" s="5" t="str">
        <f t="shared" si="272"/>
        <v>да</v>
      </c>
      <c r="H172" s="5" t="str">
        <f>"2011"</f>
        <v>2011</v>
      </c>
      <c r="I172" s="5" t="str">
        <f>"1,00"</f>
        <v>1,00</v>
      </c>
      <c r="J172" s="5" t="str">
        <f>"2038"</f>
        <v>2038</v>
      </c>
      <c r="K172" s="5" t="str">
        <f t="shared" si="273"/>
        <v>да</v>
      </c>
      <c r="L172" s="5" t="str">
        <f>"2011"</f>
        <v>2011</v>
      </c>
      <c r="M172" s="5" t="str">
        <f>"1,00"</f>
        <v>1,00</v>
      </c>
      <c r="N172" s="5" t="str">
        <f>"2038"</f>
        <v>2038</v>
      </c>
      <c r="O172" s="8" t="str">
        <f>"2006"</f>
        <v>2006</v>
      </c>
      <c r="P172" s="5" t="str">
        <f>"1,00"</f>
        <v>1,00</v>
      </c>
      <c r="Q172" s="5" t="str">
        <f>"2038"</f>
        <v>2038</v>
      </c>
      <c r="R172" s="5" t="str">
        <f t="shared" si="251"/>
        <v>нет</v>
      </c>
      <c r="S172" s="5" t="str">
        <f>""</f>
        <v/>
      </c>
      <c r="T172" s="5" t="str">
        <f>""</f>
        <v/>
      </c>
      <c r="U172" s="5" t="str">
        <f>""</f>
        <v/>
      </c>
      <c r="V172" s="5" t="str">
        <f t="shared" si="252"/>
        <v>нет</v>
      </c>
      <c r="W172" s="5" t="str">
        <f>""</f>
        <v/>
      </c>
      <c r="X172" s="5" t="str">
        <f>""</f>
        <v/>
      </c>
      <c r="Y172" s="9" t="str">
        <f>""</f>
        <v/>
      </c>
      <c r="Z172" s="5" t="str">
        <f>"2006"</f>
        <v>2006</v>
      </c>
      <c r="AA172" s="5" t="str">
        <f>"1,00"</f>
        <v>1,00</v>
      </c>
      <c r="AB172" s="5" t="str">
        <f>"2038"</f>
        <v>2038</v>
      </c>
      <c r="AC172" s="5" t="str">
        <f>"да"</f>
        <v>да</v>
      </c>
      <c r="AD172" s="5" t="str">
        <f>"2011"</f>
        <v>2011</v>
      </c>
      <c r="AE172" s="5" t="str">
        <f>"1,00"</f>
        <v>1,00</v>
      </c>
      <c r="AF172" s="5" t="str">
        <f>"2038"</f>
        <v>2038</v>
      </c>
      <c r="AG172" s="5" t="str">
        <f>"да"</f>
        <v>да</v>
      </c>
      <c r="AH172" s="5" t="str">
        <f>"2011"</f>
        <v>2011</v>
      </c>
      <c r="AI172" s="5" t="str">
        <f>"1,00"</f>
        <v>1,00</v>
      </c>
      <c r="AJ172" s="5" t="str">
        <f>"2038"</f>
        <v>2038</v>
      </c>
      <c r="AK172" s="8" t="str">
        <f>"2006"</f>
        <v>2006</v>
      </c>
      <c r="AL172" s="5" t="str">
        <f>"1,00"</f>
        <v>1,00</v>
      </c>
      <c r="AM172" s="5" t="str">
        <f>"2038"</f>
        <v>2038</v>
      </c>
      <c r="AN172" s="5" t="str">
        <f>"да"</f>
        <v>да</v>
      </c>
      <c r="AO172" s="5" t="str">
        <f>"2011"</f>
        <v>2011</v>
      </c>
      <c r="AP172" s="5" t="str">
        <f>"1,00"</f>
        <v>1,00</v>
      </c>
      <c r="AQ172" s="5" t="str">
        <f>"2038"</f>
        <v>2038</v>
      </c>
      <c r="AR172" s="5" t="str">
        <f>"да"</f>
        <v>да</v>
      </c>
      <c r="AS172" s="5" t="str">
        <f>"2011"</f>
        <v>2011</v>
      </c>
      <c r="AT172" s="5" t="str">
        <f>"1,00"</f>
        <v>1,00</v>
      </c>
      <c r="AU172" s="5" t="str">
        <f>"2038"</f>
        <v>2038</v>
      </c>
      <c r="AV172" s="5" t="str">
        <f>"2006"</f>
        <v>2006</v>
      </c>
      <c r="AW172" s="5" t="str">
        <f>"х"</f>
        <v>х</v>
      </c>
      <c r="AX172" s="5" t="str">
        <f>"2038"</f>
        <v>2038</v>
      </c>
      <c r="AY172" s="5" t="str">
        <f>"да"</f>
        <v>да</v>
      </c>
      <c r="AZ172" s="5" t="str">
        <f>"2011"</f>
        <v>2011</v>
      </c>
      <c r="BA172" s="5" t="str">
        <f>"х"</f>
        <v>х</v>
      </c>
      <c r="BB172" s="5" t="str">
        <f>"2038"</f>
        <v>2038</v>
      </c>
      <c r="BC172" s="5" t="str">
        <f>"да"</f>
        <v>да</v>
      </c>
      <c r="BD172" s="5" t="str">
        <f>"2011"</f>
        <v>2011</v>
      </c>
      <c r="BE172" s="5" t="str">
        <f>"х"</f>
        <v>х</v>
      </c>
      <c r="BF172" s="5" t="str">
        <f>"2038"</f>
        <v>2038</v>
      </c>
      <c r="BG172" s="5" t="str">
        <f>"2006"</f>
        <v>2006</v>
      </c>
      <c r="BH172" s="5" t="str">
        <f>"1,00"</f>
        <v>1,00</v>
      </c>
      <c r="BI172" s="5" t="str">
        <f>"2038"</f>
        <v>2038</v>
      </c>
      <c r="BJ172" s="5" t="str">
        <f t="shared" si="259"/>
        <v>нет</v>
      </c>
      <c r="BK172" s="5" t="str">
        <f>""</f>
        <v/>
      </c>
      <c r="BL172" s="5" t="str">
        <f>""</f>
        <v/>
      </c>
      <c r="BM172" s="5" t="str">
        <f>""</f>
        <v/>
      </c>
      <c r="BN172" s="5" t="str">
        <f t="shared" si="260"/>
        <v>нет</v>
      </c>
      <c r="BO172" s="5" t="str">
        <f>""</f>
        <v/>
      </c>
      <c r="BP172" s="5" t="str">
        <f>""</f>
        <v/>
      </c>
      <c r="BQ172" s="5" t="str">
        <f>""</f>
        <v/>
      </c>
      <c r="BR172" s="5" t="str">
        <f>"2006"</f>
        <v>2006</v>
      </c>
      <c r="BS172" s="5" t="str">
        <f>"5,00"</f>
        <v>5,00</v>
      </c>
      <c r="BT172" s="5" t="str">
        <f>"2038"</f>
        <v>2038</v>
      </c>
      <c r="BU172" s="5" t="str">
        <f t="shared" si="223"/>
        <v>нет</v>
      </c>
      <c r="BV172" s="5" t="str">
        <f t="shared" si="234"/>
        <v>x</v>
      </c>
      <c r="BW172" s="5" t="str">
        <f t="shared" si="234"/>
        <v>x</v>
      </c>
      <c r="BX172" s="5" t="str">
        <f t="shared" si="234"/>
        <v>x</v>
      </c>
      <c r="BY172" s="5" t="str">
        <f t="shared" si="221"/>
        <v>нет</v>
      </c>
      <c r="BZ172" s="5" t="str">
        <f>"2006"</f>
        <v>2006</v>
      </c>
      <c r="CA172" s="5" t="str">
        <f>"x"</f>
        <v>x</v>
      </c>
      <c r="CB172" s="5" t="str">
        <f>"2038"</f>
        <v>2038</v>
      </c>
      <c r="CC172" s="5" t="str">
        <f>"2006"</f>
        <v>2006</v>
      </c>
      <c r="CD172" s="5" t="str">
        <f>"5,00"</f>
        <v>5,00</v>
      </c>
      <c r="CE172" s="5" t="str">
        <f>"2038"</f>
        <v>2038</v>
      </c>
      <c r="CF172" s="5" t="str">
        <f>"2006"</f>
        <v>2006</v>
      </c>
      <c r="CG172" s="5" t="str">
        <f>"5,00"</f>
        <v>5,00</v>
      </c>
      <c r="CH172" s="5" t="str">
        <f>"2038"</f>
        <v>2038</v>
      </c>
      <c r="CI172" s="5" t="str">
        <f>"1,00"</f>
        <v>1,00</v>
      </c>
      <c r="CJ172" s="5" t="str">
        <f>"2040"</f>
        <v>2040</v>
      </c>
    </row>
    <row r="173" spans="1:88" ht="11.25" customHeight="1">
      <c r="A173" s="3" t="str">
        <f>"1.160"</f>
        <v>1.160</v>
      </c>
      <c r="B173" s="4" t="str">
        <f>"г. Грязовец, ул. Ленина, д.75"</f>
        <v>г. Грязовец, ул. Ленина, д.75</v>
      </c>
      <c r="C173" s="7" t="str">
        <f>"2004"</f>
        <v>2004</v>
      </c>
      <c r="D173" s="5" t="str">
        <f>"2004"</f>
        <v>2004</v>
      </c>
      <c r="E173" s="5" t="str">
        <f>"1,00"</f>
        <v>1,00</v>
      </c>
      <c r="F173" s="5" t="str">
        <f>"2030"</f>
        <v>2030</v>
      </c>
      <c r="G173" s="5" t="str">
        <f t="shared" si="272"/>
        <v>да</v>
      </c>
      <c r="H173" s="5" t="str">
        <f>"2011"</f>
        <v>2011</v>
      </c>
      <c r="I173" s="5" t="str">
        <f>"1,00"</f>
        <v>1,00</v>
      </c>
      <c r="J173" s="5" t="str">
        <f>"2030"</f>
        <v>2030</v>
      </c>
      <c r="K173" s="5" t="str">
        <f t="shared" si="273"/>
        <v>да</v>
      </c>
      <c r="L173" s="5" t="str">
        <f>"2011"</f>
        <v>2011</v>
      </c>
      <c r="M173" s="5" t="str">
        <f>"1,00"</f>
        <v>1,00</v>
      </c>
      <c r="N173" s="5" t="str">
        <f>"2030"</f>
        <v>2030</v>
      </c>
      <c r="O173" s="8" t="str">
        <f>"2004"</f>
        <v>2004</v>
      </c>
      <c r="P173" s="5" t="str">
        <f>"1,00"</f>
        <v>1,00</v>
      </c>
      <c r="Q173" s="5" t="str">
        <f>"2030"</f>
        <v>2030</v>
      </c>
      <c r="R173" s="5" t="str">
        <f>"да"</f>
        <v>да</v>
      </c>
      <c r="S173" s="5" t="str">
        <f>"2011"</f>
        <v>2011</v>
      </c>
      <c r="T173" s="5" t="str">
        <f>"1,00"</f>
        <v>1,00</v>
      </c>
      <c r="U173" s="5" t="str">
        <f>"2030"</f>
        <v>2030</v>
      </c>
      <c r="V173" s="5" t="str">
        <f>"да"</f>
        <v>да</v>
      </c>
      <c r="W173" s="5" t="str">
        <f>"2011"</f>
        <v>2011</v>
      </c>
      <c r="X173" s="5" t="str">
        <f>"1,00"</f>
        <v>1,00</v>
      </c>
      <c r="Y173" s="9" t="str">
        <f>"2030"</f>
        <v>2030</v>
      </c>
      <c r="Z173" s="5" t="str">
        <f>"2004"</f>
        <v>2004</v>
      </c>
      <c r="AA173" s="5" t="str">
        <f>"1,00"</f>
        <v>1,00</v>
      </c>
      <c r="AB173" s="5" t="str">
        <f>"2030"</f>
        <v>2030</v>
      </c>
      <c r="AC173" s="5" t="str">
        <f>"да"</f>
        <v>да</v>
      </c>
      <c r="AD173" s="5" t="str">
        <f>"2011"</f>
        <v>2011</v>
      </c>
      <c r="AE173" s="5" t="str">
        <f>"1,00"</f>
        <v>1,00</v>
      </c>
      <c r="AF173" s="5" t="str">
        <f>"2030"</f>
        <v>2030</v>
      </c>
      <c r="AG173" s="5" t="str">
        <f>"да"</f>
        <v>да</v>
      </c>
      <c r="AH173" s="5" t="str">
        <f>"2011"</f>
        <v>2011</v>
      </c>
      <c r="AI173" s="5" t="str">
        <f>"1,00"</f>
        <v>1,00</v>
      </c>
      <c r="AJ173" s="5" t="str">
        <f>"2030"</f>
        <v>2030</v>
      </c>
      <c r="AK173" s="8" t="str">
        <f>"2004"</f>
        <v>2004</v>
      </c>
      <c r="AL173" s="5" t="str">
        <f>"1,00"</f>
        <v>1,00</v>
      </c>
      <c r="AM173" s="5" t="str">
        <f>"2030"</f>
        <v>2030</v>
      </c>
      <c r="AN173" s="5" t="str">
        <f>"да"</f>
        <v>да</v>
      </c>
      <c r="AO173" s="5" t="str">
        <f>"2011"</f>
        <v>2011</v>
      </c>
      <c r="AP173" s="5" t="str">
        <f>"1,00"</f>
        <v>1,00</v>
      </c>
      <c r="AQ173" s="5" t="str">
        <f>"2030"</f>
        <v>2030</v>
      </c>
      <c r="AR173" s="5" t="str">
        <f>"да"</f>
        <v>да</v>
      </c>
      <c r="AS173" s="5" t="str">
        <f>"2030"</f>
        <v>2030</v>
      </c>
      <c r="AT173" s="5" t="str">
        <f>"1,00"</f>
        <v>1,00</v>
      </c>
      <c r="AU173" s="5" t="str">
        <f>"2030"</f>
        <v>2030</v>
      </c>
      <c r="AV173" s="5" t="str">
        <f>"2004"</f>
        <v>2004</v>
      </c>
      <c r="AW173" s="5" t="str">
        <f>"1,00"</f>
        <v>1,00</v>
      </c>
      <c r="AX173" s="5" t="str">
        <f>"2030"</f>
        <v>2030</v>
      </c>
      <c r="AY173" s="5" t="str">
        <f>"да"</f>
        <v>да</v>
      </c>
      <c r="AZ173" s="5" t="str">
        <f>"2011"</f>
        <v>2011</v>
      </c>
      <c r="BA173" s="5" t="str">
        <f>"1,00"</f>
        <v>1,00</v>
      </c>
      <c r="BB173" s="5" t="str">
        <f>"2030"</f>
        <v>2030</v>
      </c>
      <c r="BC173" s="5" t="str">
        <f>"да"</f>
        <v>да</v>
      </c>
      <c r="BD173" s="5" t="str">
        <f>"2011"</f>
        <v>2011</v>
      </c>
      <c r="BE173" s="5" t="str">
        <f>"1,00"</f>
        <v>1,00</v>
      </c>
      <c r="BF173" s="5" t="str">
        <f>"2030"</f>
        <v>2030</v>
      </c>
      <c r="BG173" s="5" t="str">
        <f>"2004"</f>
        <v>2004</v>
      </c>
      <c r="BH173" s="5" t="str">
        <f>"1,00"</f>
        <v>1,00</v>
      </c>
      <c r="BI173" s="5" t="str">
        <f>"2030"</f>
        <v>2030</v>
      </c>
      <c r="BJ173" s="5" t="str">
        <f t="shared" si="259"/>
        <v>нет</v>
      </c>
      <c r="BK173" s="5" t="str">
        <f>""</f>
        <v/>
      </c>
      <c r="BL173" s="5" t="str">
        <f>""</f>
        <v/>
      </c>
      <c r="BM173" s="5" t="str">
        <f>""</f>
        <v/>
      </c>
      <c r="BN173" s="5" t="str">
        <f t="shared" si="260"/>
        <v>нет</v>
      </c>
      <c r="BO173" s="5" t="str">
        <f>""</f>
        <v/>
      </c>
      <c r="BP173" s="5" t="str">
        <f>""</f>
        <v/>
      </c>
      <c r="BQ173" s="5" t="str">
        <f>""</f>
        <v/>
      </c>
      <c r="BR173" s="5" t="str">
        <f>"2004"</f>
        <v>2004</v>
      </c>
      <c r="BS173" s="5" t="str">
        <f>"5,00"</f>
        <v>5,00</v>
      </c>
      <c r="BT173" s="5" t="str">
        <f>"2030"</f>
        <v>2030</v>
      </c>
      <c r="BU173" s="5" t="str">
        <f t="shared" si="223"/>
        <v>нет</v>
      </c>
      <c r="BV173" s="5" t="str">
        <f t="shared" si="234"/>
        <v>x</v>
      </c>
      <c r="BW173" s="5" t="str">
        <f t="shared" si="234"/>
        <v>x</v>
      </c>
      <c r="BX173" s="5" t="str">
        <f t="shared" si="234"/>
        <v>x</v>
      </c>
      <c r="BY173" s="5" t="str">
        <f t="shared" ref="BY173:BY204" si="280">"нет"</f>
        <v>нет</v>
      </c>
      <c r="BZ173" s="5" t="str">
        <f>"2004"</f>
        <v>2004</v>
      </c>
      <c r="CA173" s="5" t="str">
        <f>"x"</f>
        <v>x</v>
      </c>
      <c r="CB173" s="5" t="str">
        <f>"2030"</f>
        <v>2030</v>
      </c>
      <c r="CC173" s="5" t="str">
        <f>"2004"</f>
        <v>2004</v>
      </c>
      <c r="CD173" s="5" t="str">
        <f>"5,00"</f>
        <v>5,00</v>
      </c>
      <c r="CE173" s="5" t="str">
        <f>"2030"</f>
        <v>2030</v>
      </c>
      <c r="CF173" s="5" t="str">
        <f>"2004"</f>
        <v>2004</v>
      </c>
      <c r="CG173" s="5" t="str">
        <f>"5,00"</f>
        <v>5,00</v>
      </c>
      <c r="CH173" s="5" t="str">
        <f>"2030"</f>
        <v>2030</v>
      </c>
      <c r="CI173" s="5" t="str">
        <f>"0,00"</f>
        <v>0,00</v>
      </c>
      <c r="CJ173" s="5" t="str">
        <f>"2030"</f>
        <v>2030</v>
      </c>
    </row>
    <row r="174" spans="1:88" ht="11.25" customHeight="1">
      <c r="A174" s="3" t="str">
        <f>"1.161"</f>
        <v>1.161</v>
      </c>
      <c r="B174" s="4" t="str">
        <f>"г. Грязовец, ул. Ленина, д.77"</f>
        <v>г. Грязовец, ул. Ленина, д.77</v>
      </c>
      <c r="C174" s="7" t="str">
        <f>"1982"</f>
        <v>1982</v>
      </c>
      <c r="D174" s="5" t="str">
        <f>"1982"</f>
        <v>1982</v>
      </c>
      <c r="E174" s="5" t="str">
        <f>"20,00"</f>
        <v>20,00</v>
      </c>
      <c r="F174" s="5" t="str">
        <f>"2033"</f>
        <v>2033</v>
      </c>
      <c r="G174" s="5" t="str">
        <f t="shared" si="272"/>
        <v>да</v>
      </c>
      <c r="H174" s="5" t="str">
        <f>"1982"</f>
        <v>1982</v>
      </c>
      <c r="I174" s="5" t="str">
        <f>"20,00"</f>
        <v>20,00</v>
      </c>
      <c r="J174" s="5" t="str">
        <f>"2033"</f>
        <v>2033</v>
      </c>
      <c r="K174" s="5" t="str">
        <f t="shared" si="273"/>
        <v>да</v>
      </c>
      <c r="L174" s="5" t="str">
        <f>"1982"</f>
        <v>1982</v>
      </c>
      <c r="M174" s="5" t="str">
        <f>"20,00"</f>
        <v>20,00</v>
      </c>
      <c r="N174" s="5" t="str">
        <f>"2033"</f>
        <v>2033</v>
      </c>
      <c r="O174" s="8" t="str">
        <f>"1982"</f>
        <v>1982</v>
      </c>
      <c r="P174" s="5" t="str">
        <f>"15,00"</f>
        <v>15,00</v>
      </c>
      <c r="Q174" s="5" t="str">
        <f>"2033"</f>
        <v>2033</v>
      </c>
      <c r="R174" s="5" t="str">
        <f>"нет"</f>
        <v>нет</v>
      </c>
      <c r="S174" s="5" t="str">
        <f t="shared" ref="S174:U197" si="281">"х"</f>
        <v>х</v>
      </c>
      <c r="T174" s="5" t="str">
        <f t="shared" si="281"/>
        <v>х</v>
      </c>
      <c r="U174" s="5" t="str">
        <f t="shared" si="281"/>
        <v>х</v>
      </c>
      <c r="V174" s="5" t="str">
        <f>"нет"</f>
        <v>нет</v>
      </c>
      <c r="W174" s="5" t="str">
        <f t="shared" ref="W174:Y197" si="282">"х"</f>
        <v>х</v>
      </c>
      <c r="X174" s="5" t="str">
        <f t="shared" si="282"/>
        <v>х</v>
      </c>
      <c r="Y174" s="9" t="str">
        <f t="shared" si="282"/>
        <v>х</v>
      </c>
      <c r="Z174" s="5" t="str">
        <f>"1982"</f>
        <v>1982</v>
      </c>
      <c r="AA174" s="5" t="str">
        <f>"15,00"</f>
        <v>15,00</v>
      </c>
      <c r="AB174" s="5" t="str">
        <f>"2033"</f>
        <v>2033</v>
      </c>
      <c r="AC174" s="5" t="str">
        <f>"нет"</f>
        <v>нет</v>
      </c>
      <c r="AD174" s="5" t="str">
        <f>""</f>
        <v/>
      </c>
      <c r="AE174" s="5" t="str">
        <f>""</f>
        <v/>
      </c>
      <c r="AF174" s="5" t="str">
        <f>""</f>
        <v/>
      </c>
      <c r="AG174" s="5" t="str">
        <f>"нет"</f>
        <v>нет</v>
      </c>
      <c r="AH174" s="5" t="str">
        <f>""</f>
        <v/>
      </c>
      <c r="AI174" s="5" t="str">
        <f>""</f>
        <v/>
      </c>
      <c r="AJ174" s="5" t="str">
        <f>""</f>
        <v/>
      </c>
      <c r="AK174" s="8" t="str">
        <f>"1982"</f>
        <v>1982</v>
      </c>
      <c r="AL174" s="5" t="str">
        <f>"20,00"</f>
        <v>20,00</v>
      </c>
      <c r="AM174" s="5" t="str">
        <f>"2033"</f>
        <v>2033</v>
      </c>
      <c r="AN174" s="5" t="str">
        <f>"да"</f>
        <v>да</v>
      </c>
      <c r="AO174" s="5" t="str">
        <f>"2011"</f>
        <v>2011</v>
      </c>
      <c r="AP174" s="5" t="str">
        <f t="shared" ref="AP174:AP197" si="283">"х"</f>
        <v>х</v>
      </c>
      <c r="AQ174" s="5" t="str">
        <f>"2033"</f>
        <v>2033</v>
      </c>
      <c r="AR174" s="5" t="str">
        <f>"да"</f>
        <v>да</v>
      </c>
      <c r="AS174" s="5" t="str">
        <f>"2011"</f>
        <v>2011</v>
      </c>
      <c r="AT174" s="5" t="str">
        <f t="shared" ref="AT174:AT197" si="284">"х"</f>
        <v>х</v>
      </c>
      <c r="AU174" s="5" t="str">
        <f>"2033"</f>
        <v>2033</v>
      </c>
      <c r="AV174" s="5" t="str">
        <f>"1982"</f>
        <v>1982</v>
      </c>
      <c r="AW174" s="5" t="str">
        <f>"15,00"</f>
        <v>15,00</v>
      </c>
      <c r="AX174" s="5" t="str">
        <f>"2033"</f>
        <v>2033</v>
      </c>
      <c r="AY174" s="5" t="str">
        <f>"да"</f>
        <v>да</v>
      </c>
      <c r="AZ174" s="5" t="str">
        <f>"2011"</f>
        <v>2011</v>
      </c>
      <c r="BA174" s="5" t="str">
        <f t="shared" ref="BA174:BA197" si="285">"х"</f>
        <v>х</v>
      </c>
      <c r="BB174" s="5" t="str">
        <f>"2033"</f>
        <v>2033</v>
      </c>
      <c r="BC174" s="5" t="str">
        <f>"да"</f>
        <v>да</v>
      </c>
      <c r="BD174" s="5" t="str">
        <f>"2011"</f>
        <v>2011</v>
      </c>
      <c r="BE174" s="5" t="str">
        <f t="shared" ref="BE174:BE197" si="286">"х"</f>
        <v>х</v>
      </c>
      <c r="BF174" s="5" t="str">
        <f>"2033"</f>
        <v>2033</v>
      </c>
      <c r="BG174" s="5" t="str">
        <f>"1982"</f>
        <v>1982</v>
      </c>
      <c r="BH174" s="5" t="str">
        <f>"20,00"</f>
        <v>20,00</v>
      </c>
      <c r="BI174" s="5" t="str">
        <f>"2033"</f>
        <v>2033</v>
      </c>
      <c r="BJ174" s="5" t="str">
        <f t="shared" si="259"/>
        <v>нет</v>
      </c>
      <c r="BK174" s="5" t="str">
        <f t="shared" ref="BK174:BM197" si="287">"х"</f>
        <v>х</v>
      </c>
      <c r="BL174" s="5" t="str">
        <f t="shared" si="287"/>
        <v>х</v>
      </c>
      <c r="BM174" s="5" t="str">
        <f t="shared" si="287"/>
        <v>х</v>
      </c>
      <c r="BN174" s="5" t="str">
        <f t="shared" si="260"/>
        <v>нет</v>
      </c>
      <c r="BO174" s="5" t="str">
        <f t="shared" ref="BO174:BQ197" si="288">"х"</f>
        <v>х</v>
      </c>
      <c r="BP174" s="5" t="str">
        <f t="shared" si="288"/>
        <v>х</v>
      </c>
      <c r="BQ174" s="5" t="str">
        <f t="shared" si="288"/>
        <v>х</v>
      </c>
      <c r="BR174" s="5" t="str">
        <f>"1982"</f>
        <v>1982</v>
      </c>
      <c r="BS174" s="5" t="str">
        <f>"15,00"</f>
        <v>15,00</v>
      </c>
      <c r="BT174" s="5" t="str">
        <f>"2033"</f>
        <v>2033</v>
      </c>
      <c r="BU174" s="5" t="str">
        <f t="shared" si="223"/>
        <v>нет</v>
      </c>
      <c r="BV174" s="5" t="str">
        <f t="shared" ref="BV174:BX193" si="289">"x"</f>
        <v>x</v>
      </c>
      <c r="BW174" s="5" t="str">
        <f t="shared" si="289"/>
        <v>x</v>
      </c>
      <c r="BX174" s="5" t="str">
        <f t="shared" si="289"/>
        <v>x</v>
      </c>
      <c r="BY174" s="5" t="str">
        <f t="shared" si="280"/>
        <v>нет</v>
      </c>
      <c r="BZ174" s="5" t="str">
        <f>"1982"</f>
        <v>1982</v>
      </c>
      <c r="CA174" s="5" t="str">
        <f>"20,00"</f>
        <v>20,00</v>
      </c>
      <c r="CB174" s="5" t="str">
        <f>"2033"</f>
        <v>2033</v>
      </c>
      <c r="CC174" s="5" t="str">
        <f>"1982"</f>
        <v>1982</v>
      </c>
      <c r="CD174" s="5" t="str">
        <f>"15,00"</f>
        <v>15,00</v>
      </c>
      <c r="CE174" s="5" t="str">
        <f>"2033"</f>
        <v>2033</v>
      </c>
      <c r="CF174" s="5" t="str">
        <f>"1982"</f>
        <v>1982</v>
      </c>
      <c r="CG174" s="5" t="str">
        <f>"15,00"</f>
        <v>15,00</v>
      </c>
      <c r="CH174" s="5" t="str">
        <f>"2033"</f>
        <v>2033</v>
      </c>
      <c r="CI174" s="5" t="str">
        <f>"13,00"</f>
        <v>13,00</v>
      </c>
      <c r="CJ174" s="5" t="str">
        <f>"2035"</f>
        <v>2035</v>
      </c>
    </row>
    <row r="175" spans="1:88" ht="11.25" customHeight="1">
      <c r="A175" s="3" t="str">
        <f>"1.162"</f>
        <v>1.162</v>
      </c>
      <c r="B175" s="4" t="str">
        <f>"г. Грязовец, ул. Ленина, д.80"</f>
        <v>г. Грязовец, ул. Ленина, д.80</v>
      </c>
      <c r="C175" s="7" t="str">
        <f>"1986"</f>
        <v>1986</v>
      </c>
      <c r="D175" s="5" t="str">
        <f>"1986"</f>
        <v>1986</v>
      </c>
      <c r="E175" s="5" t="str">
        <f>"30,00"</f>
        <v>30,00</v>
      </c>
      <c r="F175" s="5" t="str">
        <f>"2033"</f>
        <v>2033</v>
      </c>
      <c r="G175" s="5" t="str">
        <f t="shared" si="272"/>
        <v>да</v>
      </c>
      <c r="H175" s="5" t="str">
        <f>"1986"</f>
        <v>1986</v>
      </c>
      <c r="I175" s="5" t="str">
        <f>"30,00"</f>
        <v>30,00</v>
      </c>
      <c r="J175" s="5" t="str">
        <f>"2033"</f>
        <v>2033</v>
      </c>
      <c r="K175" s="5" t="str">
        <f t="shared" si="273"/>
        <v>да</v>
      </c>
      <c r="L175" s="5" t="str">
        <f>"1986"</f>
        <v>1986</v>
      </c>
      <c r="M175" s="5" t="str">
        <f>"30,00"</f>
        <v>30,00</v>
      </c>
      <c r="N175" s="5" t="str">
        <f>"2033"</f>
        <v>2033</v>
      </c>
      <c r="O175" s="8" t="str">
        <f>"1986"</f>
        <v>1986</v>
      </c>
      <c r="P175" s="5" t="str">
        <f>"25,00"</f>
        <v>25,00</v>
      </c>
      <c r="Q175" s="5" t="str">
        <f>"2033"</f>
        <v>2033</v>
      </c>
      <c r="R175" s="5" t="str">
        <f>"нет"</f>
        <v>нет</v>
      </c>
      <c r="S175" s="5" t="str">
        <f t="shared" si="281"/>
        <v>х</v>
      </c>
      <c r="T175" s="5" t="str">
        <f t="shared" si="281"/>
        <v>х</v>
      </c>
      <c r="U175" s="5" t="str">
        <f t="shared" si="281"/>
        <v>х</v>
      </c>
      <c r="V175" s="5" t="str">
        <f>"нет"</f>
        <v>нет</v>
      </c>
      <c r="W175" s="5" t="str">
        <f t="shared" si="282"/>
        <v>х</v>
      </c>
      <c r="X175" s="5" t="str">
        <f t="shared" si="282"/>
        <v>х</v>
      </c>
      <c r="Y175" s="9" t="str">
        <f t="shared" si="282"/>
        <v>х</v>
      </c>
      <c r="Z175" s="5" t="str">
        <f>"1986"</f>
        <v>1986</v>
      </c>
      <c r="AA175" s="5" t="str">
        <f>"25,00"</f>
        <v>25,00</v>
      </c>
      <c r="AB175" s="5" t="str">
        <f>"2033"</f>
        <v>2033</v>
      </c>
      <c r="AC175" s="5" t="str">
        <f>"нет"</f>
        <v>нет</v>
      </c>
      <c r="AD175" s="5" t="str">
        <f t="shared" ref="AD175:AF176" si="290">"х"</f>
        <v>х</v>
      </c>
      <c r="AE175" s="5" t="str">
        <f t="shared" si="290"/>
        <v>х</v>
      </c>
      <c r="AF175" s="5" t="str">
        <f t="shared" si="290"/>
        <v>х</v>
      </c>
      <c r="AG175" s="5" t="str">
        <f>"нет"</f>
        <v>нет</v>
      </c>
      <c r="AH175" s="5" t="str">
        <f t="shared" ref="AH175:AJ176" si="291">"х"</f>
        <v>х</v>
      </c>
      <c r="AI175" s="5" t="str">
        <f t="shared" si="291"/>
        <v>х</v>
      </c>
      <c r="AJ175" s="5" t="str">
        <f t="shared" si="291"/>
        <v>х</v>
      </c>
      <c r="AK175" s="8" t="str">
        <f>"1986"</f>
        <v>1986</v>
      </c>
      <c r="AL175" s="5" t="str">
        <f>"25,00"</f>
        <v>25,00</v>
      </c>
      <c r="AM175" s="5" t="str">
        <f>"2033"</f>
        <v>2033</v>
      </c>
      <c r="AN175" s="5" t="str">
        <f>"нет"</f>
        <v>нет</v>
      </c>
      <c r="AO175" s="5" t="str">
        <f t="shared" ref="AO175:AO197" si="292">"х"</f>
        <v>х</v>
      </c>
      <c r="AP175" s="5" t="str">
        <f t="shared" si="283"/>
        <v>х</v>
      </c>
      <c r="AQ175" s="5" t="str">
        <f t="shared" ref="AQ175:AQ197" si="293">"х"</f>
        <v>х</v>
      </c>
      <c r="AR175" s="5" t="str">
        <f>"нет"</f>
        <v>нет</v>
      </c>
      <c r="AS175" s="5" t="str">
        <f t="shared" ref="AS175:AS197" si="294">"х"</f>
        <v>х</v>
      </c>
      <c r="AT175" s="5" t="str">
        <f t="shared" si="284"/>
        <v>х</v>
      </c>
      <c r="AU175" s="5" t="str">
        <f t="shared" ref="AU175:AU197" si="295">"х"</f>
        <v>х</v>
      </c>
      <c r="AV175" s="5" t="str">
        <f>"1986"</f>
        <v>1986</v>
      </c>
      <c r="AW175" s="5" t="str">
        <f>"25,00"</f>
        <v>25,00</v>
      </c>
      <c r="AX175" s="5" t="str">
        <f>"2033"</f>
        <v>2033</v>
      </c>
      <c r="AY175" s="5" t="str">
        <f>"нет"</f>
        <v>нет</v>
      </c>
      <c r="AZ175" s="5" t="str">
        <f t="shared" ref="AZ175:AZ197" si="296">"х"</f>
        <v>х</v>
      </c>
      <c r="BA175" s="5" t="str">
        <f t="shared" si="285"/>
        <v>х</v>
      </c>
      <c r="BB175" s="5" t="str">
        <f t="shared" ref="BB175:BB197" si="297">"х"</f>
        <v>х</v>
      </c>
      <c r="BC175" s="5" t="str">
        <f>"нет"</f>
        <v>нет</v>
      </c>
      <c r="BD175" s="5" t="str">
        <f t="shared" ref="BD175:BD197" si="298">"х"</f>
        <v>х</v>
      </c>
      <c r="BE175" s="5" t="str">
        <f t="shared" si="286"/>
        <v>х</v>
      </c>
      <c r="BF175" s="5" t="str">
        <f t="shared" ref="BF175:BF197" si="299">"х"</f>
        <v>х</v>
      </c>
      <c r="BG175" s="5" t="str">
        <f>"1986"</f>
        <v>1986</v>
      </c>
      <c r="BH175" s="5" t="str">
        <f>"25,00"</f>
        <v>25,00</v>
      </c>
      <c r="BI175" s="5" t="str">
        <f>"2033"</f>
        <v>2033</v>
      </c>
      <c r="BJ175" s="5" t="str">
        <f t="shared" si="259"/>
        <v>нет</v>
      </c>
      <c r="BK175" s="5" t="str">
        <f t="shared" si="287"/>
        <v>х</v>
      </c>
      <c r="BL175" s="5" t="str">
        <f t="shared" si="287"/>
        <v>х</v>
      </c>
      <c r="BM175" s="5" t="str">
        <f t="shared" si="287"/>
        <v>х</v>
      </c>
      <c r="BN175" s="5" t="str">
        <f t="shared" si="260"/>
        <v>нет</v>
      </c>
      <c r="BO175" s="5" t="str">
        <f t="shared" si="288"/>
        <v>х</v>
      </c>
      <c r="BP175" s="5" t="str">
        <f t="shared" si="288"/>
        <v>х</v>
      </c>
      <c r="BQ175" s="5" t="str">
        <f t="shared" si="288"/>
        <v>х</v>
      </c>
      <c r="BR175" s="5" t="str">
        <f>"1986"</f>
        <v>1986</v>
      </c>
      <c r="BS175" s="5" t="str">
        <f>"25,00"</f>
        <v>25,00</v>
      </c>
      <c r="BT175" s="5" t="str">
        <f>"2033"</f>
        <v>2033</v>
      </c>
      <c r="BU175" s="5" t="str">
        <f t="shared" si="223"/>
        <v>нет</v>
      </c>
      <c r="BV175" s="5" t="str">
        <f t="shared" si="289"/>
        <v>x</v>
      </c>
      <c r="BW175" s="5" t="str">
        <f t="shared" si="289"/>
        <v>x</v>
      </c>
      <c r="BX175" s="5" t="str">
        <f t="shared" si="289"/>
        <v>x</v>
      </c>
      <c r="BY175" s="5" t="str">
        <f t="shared" si="280"/>
        <v>нет</v>
      </c>
      <c r="BZ175" s="5" t="str">
        <f>"1986"</f>
        <v>1986</v>
      </c>
      <c r="CA175" s="5" t="str">
        <f>"25,00"</f>
        <v>25,00</v>
      </c>
      <c r="CB175" s="5" t="str">
        <f>"2033"</f>
        <v>2033</v>
      </c>
      <c r="CC175" s="5" t="str">
        <f>"1986"</f>
        <v>1986</v>
      </c>
      <c r="CD175" s="5" t="str">
        <f>"25,00"</f>
        <v>25,00</v>
      </c>
      <c r="CE175" s="5" t="str">
        <f>"2033"</f>
        <v>2033</v>
      </c>
      <c r="CF175" s="5" t="str">
        <f>"1986"</f>
        <v>1986</v>
      </c>
      <c r="CG175" s="5" t="str">
        <f>"25,00"</f>
        <v>25,00</v>
      </c>
      <c r="CH175" s="5" t="str">
        <f>"2033"</f>
        <v>2033</v>
      </c>
      <c r="CI175" s="5" t="str">
        <f>"24,00"</f>
        <v>24,00</v>
      </c>
      <c r="CJ175" s="5" t="str">
        <f>"2035"</f>
        <v>2035</v>
      </c>
    </row>
    <row r="176" spans="1:88" ht="11.25" customHeight="1">
      <c r="A176" s="3" t="str">
        <f>"1.163"</f>
        <v>1.163</v>
      </c>
      <c r="B176" s="4" t="str">
        <f>"г. Грязовец, ул. Ленина, д.82"</f>
        <v>г. Грязовец, ул. Ленина, д.82</v>
      </c>
      <c r="C176" s="7" t="str">
        <f>"1984"</f>
        <v>1984</v>
      </c>
      <c r="D176" s="5" t="str">
        <f>"1984"</f>
        <v>1984</v>
      </c>
      <c r="E176" s="5" t="str">
        <f>"20,00"</f>
        <v>20,00</v>
      </c>
      <c r="F176" s="5" t="str">
        <f>"2035"</f>
        <v>2035</v>
      </c>
      <c r="G176" s="5" t="str">
        <f t="shared" si="272"/>
        <v>да</v>
      </c>
      <c r="H176" s="5" t="str">
        <f>"1984"</f>
        <v>1984</v>
      </c>
      <c r="I176" s="5" t="str">
        <f>"20,00"</f>
        <v>20,00</v>
      </c>
      <c r="J176" s="5" t="str">
        <f>"2035"</f>
        <v>2035</v>
      </c>
      <c r="K176" s="5" t="str">
        <f t="shared" si="273"/>
        <v>да</v>
      </c>
      <c r="L176" s="5" t="str">
        <f>"1984"</f>
        <v>1984</v>
      </c>
      <c r="M176" s="5" t="str">
        <f>"20,00"</f>
        <v>20,00</v>
      </c>
      <c r="N176" s="5" t="str">
        <f>"2035"</f>
        <v>2035</v>
      </c>
      <c r="O176" s="8" t="str">
        <f>"1984"</f>
        <v>1984</v>
      </c>
      <c r="P176" s="5" t="str">
        <f>"20,00"</f>
        <v>20,00</v>
      </c>
      <c r="Q176" s="5" t="str">
        <f>"2035"</f>
        <v>2035</v>
      </c>
      <c r="R176" s="5" t="str">
        <f>"нет"</f>
        <v>нет</v>
      </c>
      <c r="S176" s="5" t="str">
        <f t="shared" si="281"/>
        <v>х</v>
      </c>
      <c r="T176" s="5" t="str">
        <f t="shared" si="281"/>
        <v>х</v>
      </c>
      <c r="U176" s="5" t="str">
        <f t="shared" si="281"/>
        <v>х</v>
      </c>
      <c r="V176" s="5" t="str">
        <f>"нет"</f>
        <v>нет</v>
      </c>
      <c r="W176" s="5" t="str">
        <f t="shared" si="282"/>
        <v>х</v>
      </c>
      <c r="X176" s="5" t="str">
        <f t="shared" si="282"/>
        <v>х</v>
      </c>
      <c r="Y176" s="9" t="str">
        <f t="shared" si="282"/>
        <v>х</v>
      </c>
      <c r="Z176" s="5" t="str">
        <f>"1984"</f>
        <v>1984</v>
      </c>
      <c r="AA176" s="5" t="str">
        <f>"15,00"</f>
        <v>15,00</v>
      </c>
      <c r="AB176" s="5" t="str">
        <f>"2035"</f>
        <v>2035</v>
      </c>
      <c r="AC176" s="5" t="str">
        <f>"нет"</f>
        <v>нет</v>
      </c>
      <c r="AD176" s="5" t="str">
        <f t="shared" si="290"/>
        <v>х</v>
      </c>
      <c r="AE176" s="5" t="str">
        <f t="shared" si="290"/>
        <v>х</v>
      </c>
      <c r="AF176" s="5" t="str">
        <f t="shared" si="290"/>
        <v>х</v>
      </c>
      <c r="AG176" s="5" t="str">
        <f>"нет"</f>
        <v>нет</v>
      </c>
      <c r="AH176" s="5" t="str">
        <f t="shared" si="291"/>
        <v>х</v>
      </c>
      <c r="AI176" s="5" t="str">
        <f t="shared" si="291"/>
        <v>х</v>
      </c>
      <c r="AJ176" s="5" t="str">
        <f t="shared" si="291"/>
        <v>х</v>
      </c>
      <c r="AK176" s="8" t="str">
        <f>"1984"</f>
        <v>1984</v>
      </c>
      <c r="AL176" s="5" t="str">
        <f>"25,00"</f>
        <v>25,00</v>
      </c>
      <c r="AM176" s="5" t="str">
        <f>"2035"</f>
        <v>2035</v>
      </c>
      <c r="AN176" s="5" t="str">
        <f>"нет"</f>
        <v>нет</v>
      </c>
      <c r="AO176" s="5" t="str">
        <f t="shared" si="292"/>
        <v>х</v>
      </c>
      <c r="AP176" s="5" t="str">
        <f t="shared" si="283"/>
        <v>х</v>
      </c>
      <c r="AQ176" s="5" t="str">
        <f t="shared" si="293"/>
        <v>х</v>
      </c>
      <c r="AR176" s="5" t="str">
        <f>"нет"</f>
        <v>нет</v>
      </c>
      <c r="AS176" s="5" t="str">
        <f t="shared" si="294"/>
        <v>х</v>
      </c>
      <c r="AT176" s="5" t="str">
        <f t="shared" si="284"/>
        <v>х</v>
      </c>
      <c r="AU176" s="5" t="str">
        <f t="shared" si="295"/>
        <v>х</v>
      </c>
      <c r="AV176" s="5" t="str">
        <f>"1984"</f>
        <v>1984</v>
      </c>
      <c r="AW176" s="5" t="str">
        <f>"25,00"</f>
        <v>25,00</v>
      </c>
      <c r="AX176" s="5" t="str">
        <f>"2035"</f>
        <v>2035</v>
      </c>
      <c r="AY176" s="5" t="str">
        <f>"нет"</f>
        <v>нет</v>
      </c>
      <c r="AZ176" s="5" t="str">
        <f t="shared" si="296"/>
        <v>х</v>
      </c>
      <c r="BA176" s="5" t="str">
        <f t="shared" si="285"/>
        <v>х</v>
      </c>
      <c r="BB176" s="5" t="str">
        <f t="shared" si="297"/>
        <v>х</v>
      </c>
      <c r="BC176" s="5" t="str">
        <f>"нет"</f>
        <v>нет</v>
      </c>
      <c r="BD176" s="5" t="str">
        <f t="shared" si="298"/>
        <v>х</v>
      </c>
      <c r="BE176" s="5" t="str">
        <f t="shared" si="286"/>
        <v>х</v>
      </c>
      <c r="BF176" s="5" t="str">
        <f t="shared" si="299"/>
        <v>х</v>
      </c>
      <c r="BG176" s="5" t="str">
        <f>"1984"</f>
        <v>1984</v>
      </c>
      <c r="BH176" s="5" t="str">
        <f>"25,00"</f>
        <v>25,00</v>
      </c>
      <c r="BI176" s="5" t="str">
        <f>"2035"</f>
        <v>2035</v>
      </c>
      <c r="BJ176" s="5" t="str">
        <f t="shared" si="259"/>
        <v>нет</v>
      </c>
      <c r="BK176" s="5" t="str">
        <f t="shared" si="287"/>
        <v>х</v>
      </c>
      <c r="BL176" s="5" t="str">
        <f t="shared" si="287"/>
        <v>х</v>
      </c>
      <c r="BM176" s="5" t="str">
        <f t="shared" si="287"/>
        <v>х</v>
      </c>
      <c r="BN176" s="5" t="str">
        <f t="shared" si="260"/>
        <v>нет</v>
      </c>
      <c r="BO176" s="5" t="str">
        <f t="shared" si="288"/>
        <v>х</v>
      </c>
      <c r="BP176" s="5" t="str">
        <f t="shared" si="288"/>
        <v>х</v>
      </c>
      <c r="BQ176" s="5" t="str">
        <f t="shared" si="288"/>
        <v>х</v>
      </c>
      <c r="BR176" s="5" t="str">
        <f>"1984"</f>
        <v>1984</v>
      </c>
      <c r="BS176" s="5" t="str">
        <f>"15,00"</f>
        <v>15,00</v>
      </c>
      <c r="BT176" s="5" t="str">
        <f>"2035"</f>
        <v>2035</v>
      </c>
      <c r="BU176" s="5" t="str">
        <f t="shared" si="223"/>
        <v>нет</v>
      </c>
      <c r="BV176" s="5" t="str">
        <f t="shared" si="289"/>
        <v>x</v>
      </c>
      <c r="BW176" s="5" t="str">
        <f t="shared" si="289"/>
        <v>x</v>
      </c>
      <c r="BX176" s="5" t="str">
        <f t="shared" si="289"/>
        <v>x</v>
      </c>
      <c r="BY176" s="5" t="str">
        <f t="shared" si="280"/>
        <v>нет</v>
      </c>
      <c r="BZ176" s="5" t="str">
        <f>"1984"</f>
        <v>1984</v>
      </c>
      <c r="CA176" s="5" t="str">
        <f>"15,00"</f>
        <v>15,00</v>
      </c>
      <c r="CB176" s="5" t="str">
        <f>"2035"</f>
        <v>2035</v>
      </c>
      <c r="CC176" s="5" t="str">
        <f>"1984"</f>
        <v>1984</v>
      </c>
      <c r="CD176" s="5" t="str">
        <f>"15,00"</f>
        <v>15,00</v>
      </c>
      <c r="CE176" s="5" t="str">
        <f>"2035"</f>
        <v>2035</v>
      </c>
      <c r="CF176" s="5" t="str">
        <f>"1984"</f>
        <v>1984</v>
      </c>
      <c r="CG176" s="5" t="str">
        <f>"15,00"</f>
        <v>15,00</v>
      </c>
      <c r="CH176" s="5" t="str">
        <f>"2035"</f>
        <v>2035</v>
      </c>
      <c r="CI176" s="5" t="str">
        <f>"13,00"</f>
        <v>13,00</v>
      </c>
      <c r="CJ176" s="5" t="str">
        <f>"2040"</f>
        <v>2040</v>
      </c>
    </row>
    <row r="177" spans="1:88" ht="11.25" customHeight="1">
      <c r="A177" s="3" t="str">
        <f>"1.164"</f>
        <v>1.164</v>
      </c>
      <c r="B177" s="4" t="str">
        <f>"г. Грязовец, ул. Ленина, д.95"</f>
        <v>г. Грязовец, ул. Ленина, д.95</v>
      </c>
      <c r="C177" s="7" t="str">
        <f>"1983"</f>
        <v>1983</v>
      </c>
      <c r="D177" s="5" t="str">
        <f>"1983"</f>
        <v>1983</v>
      </c>
      <c r="E177" s="5" t="str">
        <f>"15,00"</f>
        <v>15,00</v>
      </c>
      <c r="F177" s="5" t="str">
        <f>"2035"</f>
        <v>2035</v>
      </c>
      <c r="G177" s="5" t="str">
        <f t="shared" si="272"/>
        <v>да</v>
      </c>
      <c r="H177" s="5" t="str">
        <f>"1983"</f>
        <v>1983</v>
      </c>
      <c r="I177" s="5" t="str">
        <f>"15,00"</f>
        <v>15,00</v>
      </c>
      <c r="J177" s="5" t="str">
        <f>"2035"</f>
        <v>2035</v>
      </c>
      <c r="K177" s="5" t="str">
        <f t="shared" si="273"/>
        <v>да</v>
      </c>
      <c r="L177" s="5" t="str">
        <f>"1983"</f>
        <v>1983</v>
      </c>
      <c r="M177" s="5" t="str">
        <f>"15,00"</f>
        <v>15,00</v>
      </c>
      <c r="N177" s="5" t="str">
        <f>"2035"</f>
        <v>2035</v>
      </c>
      <c r="O177" s="8" t="str">
        <f>"1983"</f>
        <v>1983</v>
      </c>
      <c r="P177" s="5" t="str">
        <f>"15,00"</f>
        <v>15,00</v>
      </c>
      <c r="Q177" s="5" t="str">
        <f>"2035"</f>
        <v>2035</v>
      </c>
      <c r="R177" s="5" t="str">
        <f>"нет"</f>
        <v>нет</v>
      </c>
      <c r="S177" s="5" t="str">
        <f t="shared" si="281"/>
        <v>х</v>
      </c>
      <c r="T177" s="5" t="str">
        <f t="shared" si="281"/>
        <v>х</v>
      </c>
      <c r="U177" s="5" t="str">
        <f t="shared" si="281"/>
        <v>х</v>
      </c>
      <c r="V177" s="5" t="str">
        <f>"нет"</f>
        <v>нет</v>
      </c>
      <c r="W177" s="5" t="str">
        <f t="shared" si="282"/>
        <v>х</v>
      </c>
      <c r="X177" s="5" t="str">
        <f t="shared" si="282"/>
        <v>х</v>
      </c>
      <c r="Y177" s="9" t="str">
        <f t="shared" si="282"/>
        <v>х</v>
      </c>
      <c r="Z177" s="5" t="str">
        <f>"1983"</f>
        <v>1983</v>
      </c>
      <c r="AA177" s="5" t="str">
        <f>"15,00"</f>
        <v>15,00</v>
      </c>
      <c r="AB177" s="5" t="str">
        <f>"2035"</f>
        <v>2035</v>
      </c>
      <c r="AC177" s="5" t="str">
        <f>"нет"</f>
        <v>нет</v>
      </c>
      <c r="AD177" s="5" t="str">
        <f>""</f>
        <v/>
      </c>
      <c r="AE177" s="5" t="str">
        <f>""</f>
        <v/>
      </c>
      <c r="AF177" s="5" t="str">
        <f>""</f>
        <v/>
      </c>
      <c r="AG177" s="5" t="str">
        <f>"нет"</f>
        <v>нет</v>
      </c>
      <c r="AH177" s="5" t="str">
        <f>""</f>
        <v/>
      </c>
      <c r="AI177" s="5" t="str">
        <f>""</f>
        <v/>
      </c>
      <c r="AJ177" s="5" t="str">
        <f>""</f>
        <v/>
      </c>
      <c r="AK177" s="8" t="str">
        <f>"1983"</f>
        <v>1983</v>
      </c>
      <c r="AL177" s="5" t="str">
        <f>"15,00"</f>
        <v>15,00</v>
      </c>
      <c r="AM177" s="5" t="str">
        <f>"2035"</f>
        <v>2035</v>
      </c>
      <c r="AN177" s="5" t="str">
        <f>"нет"</f>
        <v>нет</v>
      </c>
      <c r="AO177" s="5" t="str">
        <f t="shared" si="292"/>
        <v>х</v>
      </c>
      <c r="AP177" s="5" t="str">
        <f t="shared" si="283"/>
        <v>х</v>
      </c>
      <c r="AQ177" s="5" t="str">
        <f t="shared" si="293"/>
        <v>х</v>
      </c>
      <c r="AR177" s="5" t="str">
        <f>"нет"</f>
        <v>нет</v>
      </c>
      <c r="AS177" s="5" t="str">
        <f t="shared" si="294"/>
        <v>х</v>
      </c>
      <c r="AT177" s="5" t="str">
        <f t="shared" si="284"/>
        <v>х</v>
      </c>
      <c r="AU177" s="5" t="str">
        <f t="shared" si="295"/>
        <v>х</v>
      </c>
      <c r="AV177" s="5" t="str">
        <f>"1983"</f>
        <v>1983</v>
      </c>
      <c r="AW177" s="5" t="str">
        <f>"15,00"</f>
        <v>15,00</v>
      </c>
      <c r="AX177" s="5" t="str">
        <f>"2035"</f>
        <v>2035</v>
      </c>
      <c r="AY177" s="5" t="str">
        <f>"нет"</f>
        <v>нет</v>
      </c>
      <c r="AZ177" s="5" t="str">
        <f t="shared" si="296"/>
        <v>х</v>
      </c>
      <c r="BA177" s="5" t="str">
        <f t="shared" si="285"/>
        <v>х</v>
      </c>
      <c r="BB177" s="5" t="str">
        <f t="shared" si="297"/>
        <v>х</v>
      </c>
      <c r="BC177" s="5" t="str">
        <f>"нет"</f>
        <v>нет</v>
      </c>
      <c r="BD177" s="5" t="str">
        <f t="shared" si="298"/>
        <v>х</v>
      </c>
      <c r="BE177" s="5" t="str">
        <f t="shared" si="286"/>
        <v>х</v>
      </c>
      <c r="BF177" s="5" t="str">
        <f t="shared" si="299"/>
        <v>х</v>
      </c>
      <c r="BG177" s="5" t="str">
        <f>"1983"</f>
        <v>1983</v>
      </c>
      <c r="BH177" s="5" t="str">
        <f>"18,00"</f>
        <v>18,00</v>
      </c>
      <c r="BI177" s="5" t="str">
        <f>"2035"</f>
        <v>2035</v>
      </c>
      <c r="BJ177" s="5" t="str">
        <f t="shared" si="259"/>
        <v>нет</v>
      </c>
      <c r="BK177" s="5" t="str">
        <f t="shared" si="287"/>
        <v>х</v>
      </c>
      <c r="BL177" s="5" t="str">
        <f t="shared" si="287"/>
        <v>х</v>
      </c>
      <c r="BM177" s="5" t="str">
        <f t="shared" si="287"/>
        <v>х</v>
      </c>
      <c r="BN177" s="5" t="str">
        <f t="shared" si="260"/>
        <v>нет</v>
      </c>
      <c r="BO177" s="5" t="str">
        <f t="shared" si="288"/>
        <v>х</v>
      </c>
      <c r="BP177" s="5" t="str">
        <f t="shared" si="288"/>
        <v>х</v>
      </c>
      <c r="BQ177" s="5" t="str">
        <f t="shared" si="288"/>
        <v>х</v>
      </c>
      <c r="BR177" s="5" t="str">
        <f>"1983"</f>
        <v>1983</v>
      </c>
      <c r="BS177" s="5" t="str">
        <f>"20,00"</f>
        <v>20,00</v>
      </c>
      <c r="BT177" s="5" t="str">
        <f>"2035"</f>
        <v>2035</v>
      </c>
      <c r="BU177" s="5" t="str">
        <f t="shared" si="223"/>
        <v>нет</v>
      </c>
      <c r="BV177" s="5" t="str">
        <f t="shared" si="289"/>
        <v>x</v>
      </c>
      <c r="BW177" s="5" t="str">
        <f t="shared" si="289"/>
        <v>x</v>
      </c>
      <c r="BX177" s="5" t="str">
        <f t="shared" si="289"/>
        <v>x</v>
      </c>
      <c r="BY177" s="5" t="str">
        <f t="shared" si="280"/>
        <v>нет</v>
      </c>
      <c r="BZ177" s="5" t="str">
        <f>"1983"</f>
        <v>1983</v>
      </c>
      <c r="CA177" s="5" t="str">
        <f>"10,00"</f>
        <v>10,00</v>
      </c>
      <c r="CB177" s="5" t="str">
        <f>"2035"</f>
        <v>2035</v>
      </c>
      <c r="CC177" s="5" t="str">
        <f>"1983"</f>
        <v>1983</v>
      </c>
      <c r="CD177" s="5" t="str">
        <f>"10,00"</f>
        <v>10,00</v>
      </c>
      <c r="CE177" s="5" t="str">
        <f>"2035"</f>
        <v>2035</v>
      </c>
      <c r="CF177" s="5" t="str">
        <f>"1983"</f>
        <v>1983</v>
      </c>
      <c r="CG177" s="5" t="str">
        <f>"20,00"</f>
        <v>20,00</v>
      </c>
      <c r="CH177" s="5" t="str">
        <f>"2035"</f>
        <v>2035</v>
      </c>
      <c r="CI177" s="5" t="str">
        <f>"7,00"</f>
        <v>7,00</v>
      </c>
      <c r="CJ177" s="5" t="str">
        <f>"2040"</f>
        <v>2040</v>
      </c>
    </row>
    <row r="178" spans="1:88" ht="11.25" customHeight="1">
      <c r="A178" s="3" t="str">
        <f>"1.165"</f>
        <v>1.165</v>
      </c>
      <c r="B178" s="4" t="str">
        <f>"г. Грязовец, ул. Ленина, д.97"</f>
        <v>г. Грязовец, ул. Ленина, д.97</v>
      </c>
      <c r="C178" s="7" t="str">
        <f>"1977"</f>
        <v>1977</v>
      </c>
      <c r="D178" s="5" t="str">
        <f>"1977"</f>
        <v>1977</v>
      </c>
      <c r="E178" s="5" t="str">
        <f>"25,00"</f>
        <v>25,00</v>
      </c>
      <c r="F178" s="5" t="str">
        <f>"2035"</f>
        <v>2035</v>
      </c>
      <c r="G178" s="5" t="str">
        <f t="shared" si="272"/>
        <v>да</v>
      </c>
      <c r="H178" s="5" t="str">
        <f>"1977"</f>
        <v>1977</v>
      </c>
      <c r="I178" s="5" t="str">
        <f>"25,00"</f>
        <v>25,00</v>
      </c>
      <c r="J178" s="5" t="str">
        <f>"2035"</f>
        <v>2035</v>
      </c>
      <c r="K178" s="5" t="str">
        <f t="shared" si="273"/>
        <v>да</v>
      </c>
      <c r="L178" s="5" t="str">
        <f>"1977"</f>
        <v>1977</v>
      </c>
      <c r="M178" s="5" t="str">
        <f>"25,00"</f>
        <v>25,00</v>
      </c>
      <c r="N178" s="5" t="str">
        <f>"2035"</f>
        <v>2035</v>
      </c>
      <c r="O178" s="8" t="str">
        <f>"1977"</f>
        <v>1977</v>
      </c>
      <c r="P178" s="5" t="str">
        <f>"20,00"</f>
        <v>20,00</v>
      </c>
      <c r="Q178" s="5" t="str">
        <f>"2035"</f>
        <v>2035</v>
      </c>
      <c r="R178" s="5" t="str">
        <f>"нет"</f>
        <v>нет</v>
      </c>
      <c r="S178" s="5" t="str">
        <f t="shared" si="281"/>
        <v>х</v>
      </c>
      <c r="T178" s="5" t="str">
        <f t="shared" si="281"/>
        <v>х</v>
      </c>
      <c r="U178" s="5" t="str">
        <f t="shared" si="281"/>
        <v>х</v>
      </c>
      <c r="V178" s="5" t="str">
        <f>"нет"</f>
        <v>нет</v>
      </c>
      <c r="W178" s="5" t="str">
        <f t="shared" si="282"/>
        <v>х</v>
      </c>
      <c r="X178" s="5" t="str">
        <f t="shared" si="282"/>
        <v>х</v>
      </c>
      <c r="Y178" s="9" t="str">
        <f t="shared" si="282"/>
        <v>х</v>
      </c>
      <c r="Z178" s="5" t="str">
        <f>"1977"</f>
        <v>1977</v>
      </c>
      <c r="AA178" s="5" t="str">
        <f>"20,00"</f>
        <v>20,00</v>
      </c>
      <c r="AB178" s="5" t="str">
        <f>"2035"</f>
        <v>2035</v>
      </c>
      <c r="AC178" s="5" t="str">
        <f>"нет"</f>
        <v>нет</v>
      </c>
      <c r="AD178" s="5" t="str">
        <f>""</f>
        <v/>
      </c>
      <c r="AE178" s="5" t="str">
        <f>""</f>
        <v/>
      </c>
      <c r="AF178" s="5" t="str">
        <f>""</f>
        <v/>
      </c>
      <c r="AG178" s="5" t="str">
        <f>"нет"</f>
        <v>нет</v>
      </c>
      <c r="AH178" s="5" t="str">
        <f>""</f>
        <v/>
      </c>
      <c r="AI178" s="5" t="str">
        <f>""</f>
        <v/>
      </c>
      <c r="AJ178" s="5" t="str">
        <f>""</f>
        <v/>
      </c>
      <c r="AK178" s="8" t="str">
        <f>"1977"</f>
        <v>1977</v>
      </c>
      <c r="AL178" s="5" t="str">
        <f>"20,00"</f>
        <v>20,00</v>
      </c>
      <c r="AM178" s="5" t="str">
        <f>"2035"</f>
        <v>2035</v>
      </c>
      <c r="AN178" s="5" t="str">
        <f>"нет"</f>
        <v>нет</v>
      </c>
      <c r="AO178" s="5" t="str">
        <f t="shared" si="292"/>
        <v>х</v>
      </c>
      <c r="AP178" s="5" t="str">
        <f t="shared" si="283"/>
        <v>х</v>
      </c>
      <c r="AQ178" s="5" t="str">
        <f t="shared" si="293"/>
        <v>х</v>
      </c>
      <c r="AR178" s="5" t="str">
        <f>"нет"</f>
        <v>нет</v>
      </c>
      <c r="AS178" s="5" t="str">
        <f t="shared" si="294"/>
        <v>х</v>
      </c>
      <c r="AT178" s="5" t="str">
        <f t="shared" si="284"/>
        <v>х</v>
      </c>
      <c r="AU178" s="5" t="str">
        <f t="shared" si="295"/>
        <v>х</v>
      </c>
      <c r="AV178" s="5" t="str">
        <f>"1977"</f>
        <v>1977</v>
      </c>
      <c r="AW178" s="5" t="str">
        <f>"20,00"</f>
        <v>20,00</v>
      </c>
      <c r="AX178" s="5" t="str">
        <f>"2035"</f>
        <v>2035</v>
      </c>
      <c r="AY178" s="5" t="str">
        <f>"нет"</f>
        <v>нет</v>
      </c>
      <c r="AZ178" s="5" t="str">
        <f t="shared" si="296"/>
        <v>х</v>
      </c>
      <c r="BA178" s="5" t="str">
        <f t="shared" si="285"/>
        <v>х</v>
      </c>
      <c r="BB178" s="5" t="str">
        <f t="shared" si="297"/>
        <v>х</v>
      </c>
      <c r="BC178" s="5" t="str">
        <f>"нет"</f>
        <v>нет</v>
      </c>
      <c r="BD178" s="5" t="str">
        <f t="shared" si="298"/>
        <v>х</v>
      </c>
      <c r="BE178" s="5" t="str">
        <f t="shared" si="286"/>
        <v>х</v>
      </c>
      <c r="BF178" s="5" t="str">
        <f t="shared" si="299"/>
        <v>х</v>
      </c>
      <c r="BG178" s="5" t="str">
        <f>"1977"</f>
        <v>1977</v>
      </c>
      <c r="BH178" s="5" t="str">
        <f>"20,00"</f>
        <v>20,00</v>
      </c>
      <c r="BI178" s="5" t="str">
        <f>"2035"</f>
        <v>2035</v>
      </c>
      <c r="BJ178" s="5" t="str">
        <f t="shared" si="259"/>
        <v>нет</v>
      </c>
      <c r="BK178" s="5" t="str">
        <f t="shared" si="287"/>
        <v>х</v>
      </c>
      <c r="BL178" s="5" t="str">
        <f t="shared" si="287"/>
        <v>х</v>
      </c>
      <c r="BM178" s="5" t="str">
        <f t="shared" si="287"/>
        <v>х</v>
      </c>
      <c r="BN178" s="5" t="str">
        <f t="shared" si="260"/>
        <v>нет</v>
      </c>
      <c r="BO178" s="5" t="str">
        <f t="shared" si="288"/>
        <v>х</v>
      </c>
      <c r="BP178" s="5" t="str">
        <f t="shared" si="288"/>
        <v>х</v>
      </c>
      <c r="BQ178" s="5" t="str">
        <f t="shared" si="288"/>
        <v>х</v>
      </c>
      <c r="BR178" s="5" t="str">
        <f>"1977"</f>
        <v>1977</v>
      </c>
      <c r="BS178" s="5" t="str">
        <f>"20,00"</f>
        <v>20,00</v>
      </c>
      <c r="BT178" s="5" t="str">
        <f>"2035"</f>
        <v>2035</v>
      </c>
      <c r="BU178" s="5" t="str">
        <f t="shared" si="223"/>
        <v>нет</v>
      </c>
      <c r="BV178" s="5" t="str">
        <f t="shared" si="289"/>
        <v>x</v>
      </c>
      <c r="BW178" s="5" t="str">
        <f t="shared" si="289"/>
        <v>x</v>
      </c>
      <c r="BX178" s="5" t="str">
        <f t="shared" si="289"/>
        <v>x</v>
      </c>
      <c r="BY178" s="5" t="str">
        <f t="shared" si="280"/>
        <v>нет</v>
      </c>
      <c r="BZ178" s="5" t="str">
        <f>"1977"</f>
        <v>1977</v>
      </c>
      <c r="CA178" s="5" t="str">
        <f>"20,00"</f>
        <v>20,00</v>
      </c>
      <c r="CB178" s="5" t="str">
        <f>"2035"</f>
        <v>2035</v>
      </c>
      <c r="CC178" s="5" t="str">
        <f>"1977"</f>
        <v>1977</v>
      </c>
      <c r="CD178" s="5" t="str">
        <f>"20,00"</f>
        <v>20,00</v>
      </c>
      <c r="CE178" s="5" t="str">
        <f>"2035"</f>
        <v>2035</v>
      </c>
      <c r="CF178" s="5" t="str">
        <f>"1977"</f>
        <v>1977</v>
      </c>
      <c r="CG178" s="5" t="str">
        <f>"20,00"</f>
        <v>20,00</v>
      </c>
      <c r="CH178" s="5" t="str">
        <f>"2035"</f>
        <v>2035</v>
      </c>
      <c r="CI178" s="5" t="str">
        <f>"20,00"</f>
        <v>20,00</v>
      </c>
      <c r="CJ178" s="5" t="str">
        <f>"2040"</f>
        <v>2040</v>
      </c>
    </row>
    <row r="179" spans="1:88" ht="11.25" customHeight="1">
      <c r="A179" s="3" t="str">
        <f>"1.166"</f>
        <v>1.166</v>
      </c>
      <c r="B179" s="4" t="str">
        <f>"г. Грязовец, ул. Лесная, д.12"</f>
        <v>г. Грязовец, ул. Лесная, д.12</v>
      </c>
      <c r="C179" s="7" t="str">
        <f>"1953"</f>
        <v>1953</v>
      </c>
      <c r="D179" s="5" t="str">
        <f>"1953"</f>
        <v>1953</v>
      </c>
      <c r="E179" s="5" t="str">
        <f>"50,00"</f>
        <v>50,00</v>
      </c>
      <c r="F179" s="5" t="str">
        <f>"2019"</f>
        <v>2019</v>
      </c>
      <c r="G179" s="5" t="str">
        <f>"нет"</f>
        <v>нет</v>
      </c>
      <c r="H179" s="5" t="str">
        <f>""</f>
        <v/>
      </c>
      <c r="I179" s="5" t="str">
        <f>""</f>
        <v/>
      </c>
      <c r="J179" s="5" t="str">
        <f>""</f>
        <v/>
      </c>
      <c r="K179" s="5" t="str">
        <f>"нет"</f>
        <v>нет</v>
      </c>
      <c r="L179" s="5" t="str">
        <f>""</f>
        <v/>
      </c>
      <c r="M179" s="5" t="str">
        <f>""</f>
        <v/>
      </c>
      <c r="N179" s="5" t="str">
        <f>""</f>
        <v/>
      </c>
      <c r="O179" s="8" t="str">
        <f t="shared" ref="O179:R181" si="300">"х"</f>
        <v>х</v>
      </c>
      <c r="P179" s="5" t="str">
        <f t="shared" si="300"/>
        <v>х</v>
      </c>
      <c r="Q179" s="5" t="str">
        <f t="shared" si="300"/>
        <v>х</v>
      </c>
      <c r="R179" s="5" t="str">
        <f t="shared" si="300"/>
        <v>х</v>
      </c>
      <c r="S179" s="5" t="str">
        <f t="shared" si="281"/>
        <v>х</v>
      </c>
      <c r="T179" s="5" t="str">
        <f t="shared" si="281"/>
        <v>х</v>
      </c>
      <c r="U179" s="5" t="str">
        <f t="shared" si="281"/>
        <v>х</v>
      </c>
      <c r="V179" s="5" t="str">
        <f>"х"</f>
        <v>х</v>
      </c>
      <c r="W179" s="5" t="str">
        <f t="shared" si="282"/>
        <v>х</v>
      </c>
      <c r="X179" s="5" t="str">
        <f t="shared" si="282"/>
        <v>х</v>
      </c>
      <c r="Y179" s="9" t="str">
        <f t="shared" si="282"/>
        <v>х</v>
      </c>
      <c r="Z179" s="5" t="str">
        <f t="shared" ref="Z179:AN179" si="301">"х"</f>
        <v>х</v>
      </c>
      <c r="AA179" s="5" t="str">
        <f t="shared" si="301"/>
        <v>х</v>
      </c>
      <c r="AB179" s="5" t="str">
        <f t="shared" si="301"/>
        <v>х</v>
      </c>
      <c r="AC179" s="5" t="str">
        <f t="shared" si="301"/>
        <v>х</v>
      </c>
      <c r="AD179" s="5" t="str">
        <f t="shared" si="301"/>
        <v>х</v>
      </c>
      <c r="AE179" s="5" t="str">
        <f t="shared" si="301"/>
        <v>х</v>
      </c>
      <c r="AF179" s="5" t="str">
        <f t="shared" si="301"/>
        <v>х</v>
      </c>
      <c r="AG179" s="5" t="str">
        <f t="shared" si="301"/>
        <v>х</v>
      </c>
      <c r="AH179" s="5" t="str">
        <f t="shared" si="301"/>
        <v>х</v>
      </c>
      <c r="AI179" s="5" t="str">
        <f t="shared" si="301"/>
        <v>х</v>
      </c>
      <c r="AJ179" s="5" t="str">
        <f t="shared" si="301"/>
        <v>х</v>
      </c>
      <c r="AK179" s="8" t="str">
        <f t="shared" si="301"/>
        <v>х</v>
      </c>
      <c r="AL179" s="5" t="str">
        <f t="shared" si="301"/>
        <v>х</v>
      </c>
      <c r="AM179" s="5" t="str">
        <f t="shared" si="301"/>
        <v>х</v>
      </c>
      <c r="AN179" s="5" t="str">
        <f t="shared" si="301"/>
        <v>х</v>
      </c>
      <c r="AO179" s="5" t="str">
        <f t="shared" si="292"/>
        <v>х</v>
      </c>
      <c r="AP179" s="5" t="str">
        <f t="shared" si="283"/>
        <v>х</v>
      </c>
      <c r="AQ179" s="5" t="str">
        <f t="shared" si="293"/>
        <v>х</v>
      </c>
      <c r="AR179" s="5" t="str">
        <f>"х"</f>
        <v>х</v>
      </c>
      <c r="AS179" s="5" t="str">
        <f t="shared" si="294"/>
        <v>х</v>
      </c>
      <c r="AT179" s="5" t="str">
        <f t="shared" si="284"/>
        <v>х</v>
      </c>
      <c r="AU179" s="5" t="str">
        <f t="shared" si="295"/>
        <v>х</v>
      </c>
      <c r="AV179" s="5" t="str">
        <f t="shared" ref="AV179:AY181" si="302">"х"</f>
        <v>х</v>
      </c>
      <c r="AW179" s="5" t="str">
        <f t="shared" si="302"/>
        <v>х</v>
      </c>
      <c r="AX179" s="5" t="str">
        <f t="shared" si="302"/>
        <v>х</v>
      </c>
      <c r="AY179" s="5" t="str">
        <f t="shared" si="302"/>
        <v>х</v>
      </c>
      <c r="AZ179" s="5" t="str">
        <f t="shared" si="296"/>
        <v>х</v>
      </c>
      <c r="BA179" s="5" t="str">
        <f t="shared" si="285"/>
        <v>х</v>
      </c>
      <c r="BB179" s="5" t="str">
        <f t="shared" si="297"/>
        <v>х</v>
      </c>
      <c r="BC179" s="5" t="str">
        <f>"х"</f>
        <v>х</v>
      </c>
      <c r="BD179" s="5" t="str">
        <f t="shared" si="298"/>
        <v>х</v>
      </c>
      <c r="BE179" s="5" t="str">
        <f t="shared" si="286"/>
        <v>х</v>
      </c>
      <c r="BF179" s="5" t="str">
        <f t="shared" si="299"/>
        <v>х</v>
      </c>
      <c r="BG179" s="5" t="str">
        <f t="shared" ref="BG179:BJ181" si="303">"х"</f>
        <v>х</v>
      </c>
      <c r="BH179" s="5" t="str">
        <f t="shared" si="303"/>
        <v>х</v>
      </c>
      <c r="BI179" s="5" t="str">
        <f t="shared" si="303"/>
        <v>х</v>
      </c>
      <c r="BJ179" s="5" t="str">
        <f t="shared" si="303"/>
        <v>х</v>
      </c>
      <c r="BK179" s="5" t="str">
        <f t="shared" si="287"/>
        <v>х</v>
      </c>
      <c r="BL179" s="5" t="str">
        <f t="shared" si="287"/>
        <v>х</v>
      </c>
      <c r="BM179" s="5" t="str">
        <f t="shared" si="287"/>
        <v>х</v>
      </c>
      <c r="BN179" s="5" t="str">
        <f>"х"</f>
        <v>х</v>
      </c>
      <c r="BO179" s="5" t="str">
        <f t="shared" si="288"/>
        <v>х</v>
      </c>
      <c r="BP179" s="5" t="str">
        <f t="shared" si="288"/>
        <v>х</v>
      </c>
      <c r="BQ179" s="5" t="str">
        <f t="shared" si="288"/>
        <v>х</v>
      </c>
      <c r="BR179" s="5" t="str">
        <f>"1953"</f>
        <v>1953</v>
      </c>
      <c r="BS179" s="5" t="str">
        <f>"50,00"</f>
        <v>50,00</v>
      </c>
      <c r="BT179" s="5" t="str">
        <f>"2019"</f>
        <v>2019</v>
      </c>
      <c r="BU179" s="5" t="str">
        <f t="shared" si="223"/>
        <v>нет</v>
      </c>
      <c r="BV179" s="5" t="str">
        <f t="shared" si="289"/>
        <v>x</v>
      </c>
      <c r="BW179" s="5" t="str">
        <f t="shared" si="289"/>
        <v>x</v>
      </c>
      <c r="BX179" s="5" t="str">
        <f t="shared" si="289"/>
        <v>x</v>
      </c>
      <c r="BY179" s="5" t="str">
        <f t="shared" si="280"/>
        <v>нет</v>
      </c>
      <c r="BZ179" s="5" t="str">
        <f t="shared" ref="BZ179:CB184" si="304">"x"</f>
        <v>x</v>
      </c>
      <c r="CA179" s="5" t="str">
        <f t="shared" si="304"/>
        <v>x</v>
      </c>
      <c r="CB179" s="5" t="str">
        <f t="shared" si="304"/>
        <v>x</v>
      </c>
      <c r="CC179" s="5" t="str">
        <f>"1953"</f>
        <v>1953</v>
      </c>
      <c r="CD179" s="5" t="str">
        <f>"50,00"</f>
        <v>50,00</v>
      </c>
      <c r="CE179" s="5" t="str">
        <f>"2020"</f>
        <v>2020</v>
      </c>
      <c r="CF179" s="5" t="str">
        <f>"1953"</f>
        <v>1953</v>
      </c>
      <c r="CG179" s="5" t="str">
        <f>"50,00"</f>
        <v>50,00</v>
      </c>
      <c r="CH179" s="5" t="str">
        <f>"2020"</f>
        <v>2020</v>
      </c>
      <c r="CI179" s="5" t="str">
        <f>"50,00"</f>
        <v>50,00</v>
      </c>
      <c r="CJ179" s="5" t="str">
        <f t="shared" ref="CJ179:CJ184" si="305">"2020"</f>
        <v>2020</v>
      </c>
    </row>
    <row r="180" spans="1:88" ht="11.25" customHeight="1">
      <c r="A180" s="3" t="str">
        <f>"1.167"</f>
        <v>1.167</v>
      </c>
      <c r="B180" s="4" t="str">
        <f>"г. Грязовец, ул. Лесная, д.14"</f>
        <v>г. Грязовец, ул. Лесная, д.14</v>
      </c>
      <c r="C180" s="7" t="str">
        <f>"1960"</f>
        <v>1960</v>
      </c>
      <c r="D180" s="5" t="str">
        <f>"1960"</f>
        <v>1960</v>
      </c>
      <c r="E180" s="5" t="str">
        <f>"52,00"</f>
        <v>52,00</v>
      </c>
      <c r="F180" s="5" t="str">
        <f>"2019"</f>
        <v>2019</v>
      </c>
      <c r="G180" s="5" t="str">
        <f>"нет"</f>
        <v>нет</v>
      </c>
      <c r="H180" s="5" t="str">
        <f>""</f>
        <v/>
      </c>
      <c r="I180" s="5" t="str">
        <f>""</f>
        <v/>
      </c>
      <c r="J180" s="5" t="str">
        <f>""</f>
        <v/>
      </c>
      <c r="K180" s="5" t="str">
        <f>"нет"</f>
        <v>нет</v>
      </c>
      <c r="L180" s="5" t="str">
        <f>""</f>
        <v/>
      </c>
      <c r="M180" s="5" t="str">
        <f>""</f>
        <v/>
      </c>
      <c r="N180" s="5" t="str">
        <f>""</f>
        <v/>
      </c>
      <c r="O180" s="8" t="str">
        <f t="shared" si="300"/>
        <v>х</v>
      </c>
      <c r="P180" s="5" t="str">
        <f t="shared" si="300"/>
        <v>х</v>
      </c>
      <c r="Q180" s="5" t="str">
        <f t="shared" si="300"/>
        <v>х</v>
      </c>
      <c r="R180" s="5" t="str">
        <f t="shared" si="300"/>
        <v>х</v>
      </c>
      <c r="S180" s="5" t="str">
        <f t="shared" si="281"/>
        <v>х</v>
      </c>
      <c r="T180" s="5" t="str">
        <f t="shared" si="281"/>
        <v>х</v>
      </c>
      <c r="U180" s="5" t="str">
        <f t="shared" si="281"/>
        <v>х</v>
      </c>
      <c r="V180" s="5" t="str">
        <f>"х"</f>
        <v>х</v>
      </c>
      <c r="W180" s="5" t="str">
        <f t="shared" si="282"/>
        <v>х</v>
      </c>
      <c r="X180" s="5" t="str">
        <f t="shared" si="282"/>
        <v>х</v>
      </c>
      <c r="Y180" s="9" t="str">
        <f t="shared" si="282"/>
        <v>х</v>
      </c>
      <c r="Z180" s="5" t="str">
        <f>""</f>
        <v/>
      </c>
      <c r="AA180" s="5" t="str">
        <f>"20,00"</f>
        <v>20,00</v>
      </c>
      <c r="AB180" s="5" t="str">
        <f>"2020"</f>
        <v>2020</v>
      </c>
      <c r="AC180" s="5" t="str">
        <f>"нет"</f>
        <v>нет</v>
      </c>
      <c r="AD180" s="5" t="str">
        <f>""</f>
        <v/>
      </c>
      <c r="AE180" s="5" t="str">
        <f>""</f>
        <v/>
      </c>
      <c r="AF180" s="5" t="str">
        <f>""</f>
        <v/>
      </c>
      <c r="AG180" s="5" t="str">
        <f>"нет"</f>
        <v>нет</v>
      </c>
      <c r="AH180" s="5" t="str">
        <f>""</f>
        <v/>
      </c>
      <c r="AI180" s="5" t="str">
        <f>""</f>
        <v/>
      </c>
      <c r="AJ180" s="5" t="str">
        <f>""</f>
        <v/>
      </c>
      <c r="AK180" s="8" t="str">
        <f t="shared" ref="AK180:AN181" si="306">"х"</f>
        <v>х</v>
      </c>
      <c r="AL180" s="5" t="str">
        <f t="shared" si="306"/>
        <v>х</v>
      </c>
      <c r="AM180" s="5" t="str">
        <f t="shared" si="306"/>
        <v>х</v>
      </c>
      <c r="AN180" s="5" t="str">
        <f t="shared" si="306"/>
        <v>х</v>
      </c>
      <c r="AO180" s="5" t="str">
        <f t="shared" si="292"/>
        <v>х</v>
      </c>
      <c r="AP180" s="5" t="str">
        <f t="shared" si="283"/>
        <v>х</v>
      </c>
      <c r="AQ180" s="5" t="str">
        <f t="shared" si="293"/>
        <v>х</v>
      </c>
      <c r="AR180" s="5" t="str">
        <f>"х"</f>
        <v>х</v>
      </c>
      <c r="AS180" s="5" t="str">
        <f t="shared" si="294"/>
        <v>х</v>
      </c>
      <c r="AT180" s="5" t="str">
        <f t="shared" si="284"/>
        <v>х</v>
      </c>
      <c r="AU180" s="5" t="str">
        <f t="shared" si="295"/>
        <v>х</v>
      </c>
      <c r="AV180" s="5" t="str">
        <f t="shared" si="302"/>
        <v>х</v>
      </c>
      <c r="AW180" s="5" t="str">
        <f t="shared" si="302"/>
        <v>х</v>
      </c>
      <c r="AX180" s="5" t="str">
        <f t="shared" si="302"/>
        <v>х</v>
      </c>
      <c r="AY180" s="5" t="str">
        <f t="shared" si="302"/>
        <v>х</v>
      </c>
      <c r="AZ180" s="5" t="str">
        <f t="shared" si="296"/>
        <v>х</v>
      </c>
      <c r="BA180" s="5" t="str">
        <f t="shared" si="285"/>
        <v>х</v>
      </c>
      <c r="BB180" s="5" t="str">
        <f t="shared" si="297"/>
        <v>х</v>
      </c>
      <c r="BC180" s="5" t="str">
        <f>"х"</f>
        <v>х</v>
      </c>
      <c r="BD180" s="5" t="str">
        <f t="shared" si="298"/>
        <v>х</v>
      </c>
      <c r="BE180" s="5" t="str">
        <f t="shared" si="286"/>
        <v>х</v>
      </c>
      <c r="BF180" s="5" t="str">
        <f t="shared" si="299"/>
        <v>х</v>
      </c>
      <c r="BG180" s="5" t="str">
        <f t="shared" si="303"/>
        <v>х</v>
      </c>
      <c r="BH180" s="5" t="str">
        <f t="shared" si="303"/>
        <v>х</v>
      </c>
      <c r="BI180" s="5" t="str">
        <f t="shared" si="303"/>
        <v>х</v>
      </c>
      <c r="BJ180" s="5" t="str">
        <f t="shared" si="303"/>
        <v>х</v>
      </c>
      <c r="BK180" s="5" t="str">
        <f t="shared" si="287"/>
        <v>х</v>
      </c>
      <c r="BL180" s="5" t="str">
        <f t="shared" si="287"/>
        <v>х</v>
      </c>
      <c r="BM180" s="5" t="str">
        <f t="shared" si="287"/>
        <v>х</v>
      </c>
      <c r="BN180" s="5" t="str">
        <f>"х"</f>
        <v>х</v>
      </c>
      <c r="BO180" s="5" t="str">
        <f t="shared" si="288"/>
        <v>х</v>
      </c>
      <c r="BP180" s="5" t="str">
        <f t="shared" si="288"/>
        <v>х</v>
      </c>
      <c r="BQ180" s="5" t="str">
        <f t="shared" si="288"/>
        <v>х</v>
      </c>
      <c r="BR180" s="5" t="str">
        <f>"1960"</f>
        <v>1960</v>
      </c>
      <c r="BS180" s="5" t="str">
        <f>"60,00"</f>
        <v>60,00</v>
      </c>
      <c r="BT180" s="5" t="str">
        <f>"2019"</f>
        <v>2019</v>
      </c>
      <c r="BU180" s="5" t="str">
        <f t="shared" si="223"/>
        <v>нет</v>
      </c>
      <c r="BV180" s="5" t="str">
        <f t="shared" si="289"/>
        <v>x</v>
      </c>
      <c r="BW180" s="5" t="str">
        <f t="shared" si="289"/>
        <v>x</v>
      </c>
      <c r="BX180" s="5" t="str">
        <f t="shared" si="289"/>
        <v>x</v>
      </c>
      <c r="BY180" s="5" t="str">
        <f t="shared" si="280"/>
        <v>нет</v>
      </c>
      <c r="BZ180" s="5" t="str">
        <f t="shared" si="304"/>
        <v>x</v>
      </c>
      <c r="CA180" s="5" t="str">
        <f t="shared" si="304"/>
        <v>x</v>
      </c>
      <c r="CB180" s="5" t="str">
        <f t="shared" si="304"/>
        <v>x</v>
      </c>
      <c r="CC180" s="5" t="str">
        <f>"1960"</f>
        <v>1960</v>
      </c>
      <c r="CD180" s="5" t="str">
        <f>"52,00"</f>
        <v>52,00</v>
      </c>
      <c r="CE180" s="5" t="str">
        <f>"2020"</f>
        <v>2020</v>
      </c>
      <c r="CF180" s="5" t="str">
        <f>"1960"</f>
        <v>1960</v>
      </c>
      <c r="CG180" s="5" t="str">
        <f>"60,00"</f>
        <v>60,00</v>
      </c>
      <c r="CH180" s="5" t="str">
        <f>"2020"</f>
        <v>2020</v>
      </c>
      <c r="CI180" s="5" t="str">
        <f>"52,00"</f>
        <v>52,00</v>
      </c>
      <c r="CJ180" s="5" t="str">
        <f t="shared" si="305"/>
        <v>2020</v>
      </c>
    </row>
    <row r="181" spans="1:88" ht="11.25" customHeight="1">
      <c r="A181" s="3" t="str">
        <f>"1.168"</f>
        <v>1.168</v>
      </c>
      <c r="B181" s="4" t="str">
        <f>"г. Грязовец, ул. Лесная, д.15"</f>
        <v>г. Грязовец, ул. Лесная, д.15</v>
      </c>
      <c r="C181" s="7" t="str">
        <f>"1950"</f>
        <v>1950</v>
      </c>
      <c r="D181" s="5" t="str">
        <f>"1950"</f>
        <v>1950</v>
      </c>
      <c r="E181" s="5" t="str">
        <f>"65,00"</f>
        <v>65,00</v>
      </c>
      <c r="F181" s="5" t="str">
        <f>"2019"</f>
        <v>2019</v>
      </c>
      <c r="G181" s="5" t="str">
        <f>"нет"</f>
        <v>нет</v>
      </c>
      <c r="H181" s="5" t="str">
        <f>""</f>
        <v/>
      </c>
      <c r="I181" s="5" t="str">
        <f>""</f>
        <v/>
      </c>
      <c r="J181" s="5" t="str">
        <f>""</f>
        <v/>
      </c>
      <c r="K181" s="5" t="str">
        <f>"нет"</f>
        <v>нет</v>
      </c>
      <c r="L181" s="5" t="str">
        <f>""</f>
        <v/>
      </c>
      <c r="M181" s="5" t="str">
        <f>""</f>
        <v/>
      </c>
      <c r="N181" s="5" t="str">
        <f>""</f>
        <v/>
      </c>
      <c r="O181" s="8" t="str">
        <f t="shared" si="300"/>
        <v>х</v>
      </c>
      <c r="P181" s="5" t="str">
        <f t="shared" si="300"/>
        <v>х</v>
      </c>
      <c r="Q181" s="5" t="str">
        <f t="shared" si="300"/>
        <v>х</v>
      </c>
      <c r="R181" s="5" t="str">
        <f t="shared" si="300"/>
        <v>х</v>
      </c>
      <c r="S181" s="5" t="str">
        <f t="shared" si="281"/>
        <v>х</v>
      </c>
      <c r="T181" s="5" t="str">
        <f t="shared" si="281"/>
        <v>х</v>
      </c>
      <c r="U181" s="5" t="str">
        <f t="shared" si="281"/>
        <v>х</v>
      </c>
      <c r="V181" s="5" t="str">
        <f>"х"</f>
        <v>х</v>
      </c>
      <c r="W181" s="5" t="str">
        <f t="shared" si="282"/>
        <v>х</v>
      </c>
      <c r="X181" s="5" t="str">
        <f t="shared" si="282"/>
        <v>х</v>
      </c>
      <c r="Y181" s="9" t="str">
        <f t="shared" si="282"/>
        <v>х</v>
      </c>
      <c r="Z181" s="5" t="str">
        <f t="shared" ref="Z181:AJ181" si="307">"х"</f>
        <v>х</v>
      </c>
      <c r="AA181" s="5" t="str">
        <f t="shared" si="307"/>
        <v>х</v>
      </c>
      <c r="AB181" s="5" t="str">
        <f t="shared" si="307"/>
        <v>х</v>
      </c>
      <c r="AC181" s="5" t="str">
        <f t="shared" si="307"/>
        <v>х</v>
      </c>
      <c r="AD181" s="5" t="str">
        <f t="shared" si="307"/>
        <v>х</v>
      </c>
      <c r="AE181" s="5" t="str">
        <f t="shared" si="307"/>
        <v>х</v>
      </c>
      <c r="AF181" s="5" t="str">
        <f t="shared" si="307"/>
        <v>х</v>
      </c>
      <c r="AG181" s="5" t="str">
        <f t="shared" si="307"/>
        <v>х</v>
      </c>
      <c r="AH181" s="5" t="str">
        <f t="shared" si="307"/>
        <v>х</v>
      </c>
      <c r="AI181" s="5" t="str">
        <f t="shared" si="307"/>
        <v>х</v>
      </c>
      <c r="AJ181" s="5" t="str">
        <f t="shared" si="307"/>
        <v>х</v>
      </c>
      <c r="AK181" s="8" t="str">
        <f t="shared" si="306"/>
        <v>х</v>
      </c>
      <c r="AL181" s="5" t="str">
        <f t="shared" si="306"/>
        <v>х</v>
      </c>
      <c r="AM181" s="5" t="str">
        <f t="shared" si="306"/>
        <v>х</v>
      </c>
      <c r="AN181" s="5" t="str">
        <f t="shared" si="306"/>
        <v>х</v>
      </c>
      <c r="AO181" s="5" t="str">
        <f t="shared" si="292"/>
        <v>х</v>
      </c>
      <c r="AP181" s="5" t="str">
        <f t="shared" si="283"/>
        <v>х</v>
      </c>
      <c r="AQ181" s="5" t="str">
        <f t="shared" si="293"/>
        <v>х</v>
      </c>
      <c r="AR181" s="5" t="str">
        <f>"х"</f>
        <v>х</v>
      </c>
      <c r="AS181" s="5" t="str">
        <f t="shared" si="294"/>
        <v>х</v>
      </c>
      <c r="AT181" s="5" t="str">
        <f t="shared" si="284"/>
        <v>х</v>
      </c>
      <c r="AU181" s="5" t="str">
        <f t="shared" si="295"/>
        <v>х</v>
      </c>
      <c r="AV181" s="5" t="str">
        <f t="shared" si="302"/>
        <v>х</v>
      </c>
      <c r="AW181" s="5" t="str">
        <f t="shared" si="302"/>
        <v>х</v>
      </c>
      <c r="AX181" s="5" t="str">
        <f t="shared" si="302"/>
        <v>х</v>
      </c>
      <c r="AY181" s="5" t="str">
        <f t="shared" si="302"/>
        <v>х</v>
      </c>
      <c r="AZ181" s="5" t="str">
        <f t="shared" si="296"/>
        <v>х</v>
      </c>
      <c r="BA181" s="5" t="str">
        <f t="shared" si="285"/>
        <v>х</v>
      </c>
      <c r="BB181" s="5" t="str">
        <f t="shared" si="297"/>
        <v>х</v>
      </c>
      <c r="BC181" s="5" t="str">
        <f>"х"</f>
        <v>х</v>
      </c>
      <c r="BD181" s="5" t="str">
        <f t="shared" si="298"/>
        <v>х</v>
      </c>
      <c r="BE181" s="5" t="str">
        <f t="shared" si="286"/>
        <v>х</v>
      </c>
      <c r="BF181" s="5" t="str">
        <f t="shared" si="299"/>
        <v>х</v>
      </c>
      <c r="BG181" s="5" t="str">
        <f t="shared" si="303"/>
        <v>х</v>
      </c>
      <c r="BH181" s="5" t="str">
        <f t="shared" si="303"/>
        <v>х</v>
      </c>
      <c r="BI181" s="5" t="str">
        <f t="shared" si="303"/>
        <v>х</v>
      </c>
      <c r="BJ181" s="5" t="str">
        <f t="shared" si="303"/>
        <v>х</v>
      </c>
      <c r="BK181" s="5" t="str">
        <f t="shared" si="287"/>
        <v>х</v>
      </c>
      <c r="BL181" s="5" t="str">
        <f t="shared" si="287"/>
        <v>х</v>
      </c>
      <c r="BM181" s="5" t="str">
        <f t="shared" si="287"/>
        <v>х</v>
      </c>
      <c r="BN181" s="5" t="str">
        <f>"нет"</f>
        <v>нет</v>
      </c>
      <c r="BO181" s="5" t="str">
        <f t="shared" si="288"/>
        <v>х</v>
      </c>
      <c r="BP181" s="5" t="str">
        <f t="shared" si="288"/>
        <v>х</v>
      </c>
      <c r="BQ181" s="5" t="str">
        <f t="shared" si="288"/>
        <v>х</v>
      </c>
      <c r="BR181" s="5" t="str">
        <f>"1950"</f>
        <v>1950</v>
      </c>
      <c r="BS181" s="5" t="str">
        <f>"65,00"</f>
        <v>65,00</v>
      </c>
      <c r="BT181" s="5" t="str">
        <f>"2019"</f>
        <v>2019</v>
      </c>
      <c r="BU181" s="5" t="str">
        <f t="shared" si="223"/>
        <v>нет</v>
      </c>
      <c r="BV181" s="5" t="str">
        <f t="shared" si="289"/>
        <v>x</v>
      </c>
      <c r="BW181" s="5" t="str">
        <f t="shared" si="289"/>
        <v>x</v>
      </c>
      <c r="BX181" s="5" t="str">
        <f t="shared" si="289"/>
        <v>x</v>
      </c>
      <c r="BY181" s="5" t="str">
        <f t="shared" si="280"/>
        <v>нет</v>
      </c>
      <c r="BZ181" s="5" t="str">
        <f t="shared" si="304"/>
        <v>x</v>
      </c>
      <c r="CA181" s="5" t="str">
        <f t="shared" si="304"/>
        <v>x</v>
      </c>
      <c r="CB181" s="5" t="str">
        <f t="shared" si="304"/>
        <v>x</v>
      </c>
      <c r="CC181" s="5" t="str">
        <f>"1950"</f>
        <v>1950</v>
      </c>
      <c r="CD181" s="5" t="str">
        <f>"52,00"</f>
        <v>52,00</v>
      </c>
      <c r="CE181" s="5" t="str">
        <f>"2019"</f>
        <v>2019</v>
      </c>
      <c r="CF181" s="5" t="str">
        <f>"1950"</f>
        <v>1950</v>
      </c>
      <c r="CG181" s="5" t="str">
        <f>"65,00"</f>
        <v>65,00</v>
      </c>
      <c r="CH181" s="5" t="str">
        <f>"2019"</f>
        <v>2019</v>
      </c>
      <c r="CI181" s="5" t="str">
        <f>"62,00"</f>
        <v>62,00</v>
      </c>
      <c r="CJ181" s="5" t="str">
        <f t="shared" si="305"/>
        <v>2020</v>
      </c>
    </row>
    <row r="182" spans="1:88" ht="11.25" customHeight="1">
      <c r="A182" s="3" t="str">
        <f>"1.169"</f>
        <v>1.169</v>
      </c>
      <c r="B182" s="4" t="str">
        <f>"г. Грязовец, ул. Лесная, д.16"</f>
        <v>г. Грязовец, ул. Лесная, д.16</v>
      </c>
      <c r="C182" s="7" t="str">
        <f>"1949"</f>
        <v>1949</v>
      </c>
      <c r="D182" s="5" t="str">
        <f>"1949"</f>
        <v>1949</v>
      </c>
      <c r="E182" s="5" t="str">
        <f>"42,00"</f>
        <v>42,00</v>
      </c>
      <c r="F182" s="5" t="str">
        <f>"2019"</f>
        <v>2019</v>
      </c>
      <c r="G182" s="5" t="str">
        <f>"да"</f>
        <v>да</v>
      </c>
      <c r="H182" s="5" t="str">
        <f>"1949"</f>
        <v>1949</v>
      </c>
      <c r="I182" s="5" t="str">
        <f>"65,00"</f>
        <v>65,00</v>
      </c>
      <c r="J182" s="5" t="str">
        <f>"2019"</f>
        <v>2019</v>
      </c>
      <c r="K182" s="5" t="str">
        <f>"да"</f>
        <v>да</v>
      </c>
      <c r="L182" s="5" t="str">
        <f>"1949"</f>
        <v>1949</v>
      </c>
      <c r="M182" s="5" t="str">
        <f>"65,00"</f>
        <v>65,00</v>
      </c>
      <c r="N182" s="5" t="str">
        <f>"2019"</f>
        <v>2019</v>
      </c>
      <c r="O182" s="8" t="str">
        <f>"1949"</f>
        <v>1949</v>
      </c>
      <c r="P182" s="5" t="str">
        <f>"65,00"</f>
        <v>65,00</v>
      </c>
      <c r="Q182" s="5" t="str">
        <f>"2019"</f>
        <v>2019</v>
      </c>
      <c r="R182" s="5" t="str">
        <f>"нет"</f>
        <v>нет</v>
      </c>
      <c r="S182" s="5" t="str">
        <f t="shared" si="281"/>
        <v>х</v>
      </c>
      <c r="T182" s="5" t="str">
        <f t="shared" si="281"/>
        <v>х</v>
      </c>
      <c r="U182" s="5" t="str">
        <f t="shared" si="281"/>
        <v>х</v>
      </c>
      <c r="V182" s="5" t="str">
        <f>"нет"</f>
        <v>нет</v>
      </c>
      <c r="W182" s="5" t="str">
        <f t="shared" si="282"/>
        <v>х</v>
      </c>
      <c r="X182" s="5" t="str">
        <f t="shared" si="282"/>
        <v>х</v>
      </c>
      <c r="Y182" s="9" t="str">
        <f t="shared" si="282"/>
        <v>х</v>
      </c>
      <c r="Z182" s="5" t="str">
        <f>"1949"</f>
        <v>1949</v>
      </c>
      <c r="AA182" s="5" t="str">
        <f>"60,00"</f>
        <v>60,00</v>
      </c>
      <c r="AB182" s="5" t="str">
        <f>"2019"</f>
        <v>2019</v>
      </c>
      <c r="AC182" s="5" t="str">
        <f>"нет"</f>
        <v>нет</v>
      </c>
      <c r="AD182" s="5" t="str">
        <f t="shared" ref="AD182:AF184" si="308">"х"</f>
        <v>х</v>
      </c>
      <c r="AE182" s="5" t="str">
        <f t="shared" si="308"/>
        <v>х</v>
      </c>
      <c r="AF182" s="5" t="str">
        <f t="shared" si="308"/>
        <v>х</v>
      </c>
      <c r="AG182" s="5" t="str">
        <f>"нет"</f>
        <v>нет</v>
      </c>
      <c r="AH182" s="5" t="str">
        <f t="shared" ref="AH182:AJ184" si="309">"х"</f>
        <v>х</v>
      </c>
      <c r="AI182" s="5" t="str">
        <f t="shared" si="309"/>
        <v>х</v>
      </c>
      <c r="AJ182" s="5" t="str">
        <f t="shared" si="309"/>
        <v>х</v>
      </c>
      <c r="AK182" s="8" t="str">
        <f>"1949"</f>
        <v>1949</v>
      </c>
      <c r="AL182" s="5" t="str">
        <f>"60,00"</f>
        <v>60,00</v>
      </c>
      <c r="AM182" s="5" t="str">
        <f>"2019"</f>
        <v>2019</v>
      </c>
      <c r="AN182" s="5" t="str">
        <f>"нет"</f>
        <v>нет</v>
      </c>
      <c r="AO182" s="5" t="str">
        <f t="shared" si="292"/>
        <v>х</v>
      </c>
      <c r="AP182" s="5" t="str">
        <f t="shared" si="283"/>
        <v>х</v>
      </c>
      <c r="AQ182" s="5" t="str">
        <f t="shared" si="293"/>
        <v>х</v>
      </c>
      <c r="AR182" s="5" t="str">
        <f>"нет"</f>
        <v>нет</v>
      </c>
      <c r="AS182" s="5" t="str">
        <f t="shared" si="294"/>
        <v>х</v>
      </c>
      <c r="AT182" s="5" t="str">
        <f t="shared" si="284"/>
        <v>х</v>
      </c>
      <c r="AU182" s="5" t="str">
        <f t="shared" si="295"/>
        <v>х</v>
      </c>
      <c r="AV182" s="5" t="str">
        <f>"1949"</f>
        <v>1949</v>
      </c>
      <c r="AW182" s="5" t="str">
        <f>"60,00"</f>
        <v>60,00</v>
      </c>
      <c r="AX182" s="5" t="str">
        <f>"2019"</f>
        <v>2019</v>
      </c>
      <c r="AY182" s="5" t="str">
        <f>"нет"</f>
        <v>нет</v>
      </c>
      <c r="AZ182" s="5" t="str">
        <f t="shared" si="296"/>
        <v>х</v>
      </c>
      <c r="BA182" s="5" t="str">
        <f t="shared" si="285"/>
        <v>х</v>
      </c>
      <c r="BB182" s="5" t="str">
        <f t="shared" si="297"/>
        <v>х</v>
      </c>
      <c r="BC182" s="5" t="str">
        <f>"нет"</f>
        <v>нет</v>
      </c>
      <c r="BD182" s="5" t="str">
        <f t="shared" si="298"/>
        <v>х</v>
      </c>
      <c r="BE182" s="5" t="str">
        <f t="shared" si="286"/>
        <v>х</v>
      </c>
      <c r="BF182" s="5" t="str">
        <f t="shared" si="299"/>
        <v>х</v>
      </c>
      <c r="BG182" s="5" t="str">
        <f>"1949"</f>
        <v>1949</v>
      </c>
      <c r="BH182" s="5" t="str">
        <f>"60,00"</f>
        <v>60,00</v>
      </c>
      <c r="BI182" s="5" t="str">
        <f>"2019"</f>
        <v>2019</v>
      </c>
      <c r="BJ182" s="5" t="str">
        <f>"нет"</f>
        <v>нет</v>
      </c>
      <c r="BK182" s="5" t="str">
        <f t="shared" si="287"/>
        <v>х</v>
      </c>
      <c r="BL182" s="5" t="str">
        <f t="shared" si="287"/>
        <v>х</v>
      </c>
      <c r="BM182" s="5" t="str">
        <f t="shared" si="287"/>
        <v>х</v>
      </c>
      <c r="BN182" s="5" t="str">
        <f>"нет"</f>
        <v>нет</v>
      </c>
      <c r="BO182" s="5" t="str">
        <f t="shared" si="288"/>
        <v>х</v>
      </c>
      <c r="BP182" s="5" t="str">
        <f t="shared" si="288"/>
        <v>х</v>
      </c>
      <c r="BQ182" s="5" t="str">
        <f t="shared" si="288"/>
        <v>х</v>
      </c>
      <c r="BR182" s="5" t="str">
        <f>"1949"</f>
        <v>1949</v>
      </c>
      <c r="BS182" s="5" t="str">
        <f>"70,00"</f>
        <v>70,00</v>
      </c>
      <c r="BT182" s="5" t="str">
        <f>"2020"</f>
        <v>2020</v>
      </c>
      <c r="BU182" s="5" t="str">
        <f t="shared" si="223"/>
        <v>нет</v>
      </c>
      <c r="BV182" s="5" t="str">
        <f t="shared" si="289"/>
        <v>x</v>
      </c>
      <c r="BW182" s="5" t="str">
        <f t="shared" si="289"/>
        <v>x</v>
      </c>
      <c r="BX182" s="5" t="str">
        <f t="shared" si="289"/>
        <v>x</v>
      </c>
      <c r="BY182" s="5" t="str">
        <f t="shared" si="280"/>
        <v>нет</v>
      </c>
      <c r="BZ182" s="5" t="str">
        <f t="shared" si="304"/>
        <v>x</v>
      </c>
      <c r="CA182" s="5" t="str">
        <f t="shared" si="304"/>
        <v>x</v>
      </c>
      <c r="CB182" s="5" t="str">
        <f t="shared" si="304"/>
        <v>x</v>
      </c>
      <c r="CC182" s="5" t="str">
        <f>"1949"</f>
        <v>1949</v>
      </c>
      <c r="CD182" s="5" t="str">
        <f>"50,00"</f>
        <v>50,00</v>
      </c>
      <c r="CE182" s="5" t="str">
        <f>"2020"</f>
        <v>2020</v>
      </c>
      <c r="CF182" s="5" t="str">
        <f>"1949"</f>
        <v>1949</v>
      </c>
      <c r="CG182" s="5" t="str">
        <f>"70,00"</f>
        <v>70,00</v>
      </c>
      <c r="CH182" s="5" t="str">
        <f>"2019"</f>
        <v>2019</v>
      </c>
      <c r="CI182" s="5" t="str">
        <f>"57,00"</f>
        <v>57,00</v>
      </c>
      <c r="CJ182" s="5" t="str">
        <f t="shared" si="305"/>
        <v>2020</v>
      </c>
    </row>
    <row r="183" spans="1:88" ht="11.25" customHeight="1">
      <c r="A183" s="3" t="str">
        <f>"1.170"</f>
        <v>1.170</v>
      </c>
      <c r="B183" s="4" t="str">
        <f>"г. Грязовец, ул. Лесная, д.17"</f>
        <v>г. Грязовец, ул. Лесная, д.17</v>
      </c>
      <c r="C183" s="7" t="str">
        <f>"1974"</f>
        <v>1974</v>
      </c>
      <c r="D183" s="5" t="str">
        <f>"1974"</f>
        <v>1974</v>
      </c>
      <c r="E183" s="5" t="str">
        <f>"38,00"</f>
        <v>38,00</v>
      </c>
      <c r="F183" s="5" t="str">
        <f>"2020"</f>
        <v>2020</v>
      </c>
      <c r="G183" s="5" t="str">
        <f>"да"</f>
        <v>да</v>
      </c>
      <c r="H183" s="5" t="str">
        <f>"1974"</f>
        <v>1974</v>
      </c>
      <c r="I183" s="5" t="str">
        <f>"38,00"</f>
        <v>38,00</v>
      </c>
      <c r="J183" s="5" t="str">
        <f>"2020"</f>
        <v>2020</v>
      </c>
      <c r="K183" s="5" t="str">
        <f>"да"</f>
        <v>да</v>
      </c>
      <c r="L183" s="5" t="str">
        <f>"1974"</f>
        <v>1974</v>
      </c>
      <c r="M183" s="5" t="str">
        <f>"38,00"</f>
        <v>38,00</v>
      </c>
      <c r="N183" s="5" t="str">
        <f>"2020"</f>
        <v>2020</v>
      </c>
      <c r="O183" s="8" t="str">
        <f t="shared" ref="O183:Q186" si="310">"х"</f>
        <v>х</v>
      </c>
      <c r="P183" s="5" t="str">
        <f t="shared" si="310"/>
        <v>х</v>
      </c>
      <c r="Q183" s="5" t="str">
        <f t="shared" si="310"/>
        <v>х</v>
      </c>
      <c r="R183" s="5" t="str">
        <f>"нет"</f>
        <v>нет</v>
      </c>
      <c r="S183" s="5" t="str">
        <f t="shared" si="281"/>
        <v>х</v>
      </c>
      <c r="T183" s="5" t="str">
        <f t="shared" si="281"/>
        <v>х</v>
      </c>
      <c r="U183" s="5" t="str">
        <f t="shared" si="281"/>
        <v>х</v>
      </c>
      <c r="V183" s="5" t="str">
        <f>"нет"</f>
        <v>нет</v>
      </c>
      <c r="W183" s="5" t="str">
        <f t="shared" si="282"/>
        <v>х</v>
      </c>
      <c r="X183" s="5" t="str">
        <f t="shared" si="282"/>
        <v>х</v>
      </c>
      <c r="Y183" s="9" t="str">
        <f t="shared" si="282"/>
        <v>х</v>
      </c>
      <c r="Z183" s="5" t="str">
        <f t="shared" ref="Z183:AB184" si="311">"х"</f>
        <v>х</v>
      </c>
      <c r="AA183" s="5" t="str">
        <f t="shared" si="311"/>
        <v>х</v>
      </c>
      <c r="AB183" s="5" t="str">
        <f t="shared" si="311"/>
        <v>х</v>
      </c>
      <c r="AC183" s="5" t="str">
        <f>"нет"</f>
        <v>нет</v>
      </c>
      <c r="AD183" s="5" t="str">
        <f t="shared" si="308"/>
        <v>х</v>
      </c>
      <c r="AE183" s="5" t="str">
        <f t="shared" si="308"/>
        <v>х</v>
      </c>
      <c r="AF183" s="5" t="str">
        <f t="shared" si="308"/>
        <v>х</v>
      </c>
      <c r="AG183" s="5" t="str">
        <f>"нет"</f>
        <v>нет</v>
      </c>
      <c r="AH183" s="5" t="str">
        <f t="shared" si="309"/>
        <v>х</v>
      </c>
      <c r="AI183" s="5" t="str">
        <f t="shared" si="309"/>
        <v>х</v>
      </c>
      <c r="AJ183" s="5" t="str">
        <f t="shared" si="309"/>
        <v>х</v>
      </c>
      <c r="AK183" s="8" t="str">
        <f t="shared" ref="AK183:AN186" si="312">"х"</f>
        <v>х</v>
      </c>
      <c r="AL183" s="5" t="str">
        <f t="shared" si="312"/>
        <v>х</v>
      </c>
      <c r="AM183" s="5" t="str">
        <f t="shared" si="312"/>
        <v>х</v>
      </c>
      <c r="AN183" s="5" t="str">
        <f t="shared" si="312"/>
        <v>х</v>
      </c>
      <c r="AO183" s="5" t="str">
        <f t="shared" si="292"/>
        <v>х</v>
      </c>
      <c r="AP183" s="5" t="str">
        <f t="shared" si="283"/>
        <v>х</v>
      </c>
      <c r="AQ183" s="5" t="str">
        <f t="shared" si="293"/>
        <v>х</v>
      </c>
      <c r="AR183" s="5" t="str">
        <f>"х"</f>
        <v>х</v>
      </c>
      <c r="AS183" s="5" t="str">
        <f t="shared" si="294"/>
        <v>х</v>
      </c>
      <c r="AT183" s="5" t="str">
        <f t="shared" si="284"/>
        <v>х</v>
      </c>
      <c r="AU183" s="5" t="str">
        <f t="shared" si="295"/>
        <v>х</v>
      </c>
      <c r="AV183" s="5" t="str">
        <f t="shared" ref="AV183:AY186" si="313">"х"</f>
        <v>х</v>
      </c>
      <c r="AW183" s="5" t="str">
        <f t="shared" si="313"/>
        <v>х</v>
      </c>
      <c r="AX183" s="5" t="str">
        <f t="shared" si="313"/>
        <v>х</v>
      </c>
      <c r="AY183" s="5" t="str">
        <f t="shared" si="313"/>
        <v>х</v>
      </c>
      <c r="AZ183" s="5" t="str">
        <f t="shared" si="296"/>
        <v>х</v>
      </c>
      <c r="BA183" s="5" t="str">
        <f t="shared" si="285"/>
        <v>х</v>
      </c>
      <c r="BB183" s="5" t="str">
        <f t="shared" si="297"/>
        <v>х</v>
      </c>
      <c r="BC183" s="5" t="str">
        <f>"х"</f>
        <v>х</v>
      </c>
      <c r="BD183" s="5" t="str">
        <f t="shared" si="298"/>
        <v>х</v>
      </c>
      <c r="BE183" s="5" t="str">
        <f t="shared" si="286"/>
        <v>х</v>
      </c>
      <c r="BF183" s="5" t="str">
        <f t="shared" si="299"/>
        <v>х</v>
      </c>
      <c r="BG183" s="5" t="str">
        <f t="shared" ref="BG183:BJ186" si="314">"х"</f>
        <v>х</v>
      </c>
      <c r="BH183" s="5" t="str">
        <f t="shared" si="314"/>
        <v>х</v>
      </c>
      <c r="BI183" s="5" t="str">
        <f t="shared" si="314"/>
        <v>х</v>
      </c>
      <c r="BJ183" s="5" t="str">
        <f t="shared" si="314"/>
        <v>х</v>
      </c>
      <c r="BK183" s="5" t="str">
        <f t="shared" si="287"/>
        <v>х</v>
      </c>
      <c r="BL183" s="5" t="str">
        <f t="shared" si="287"/>
        <v>х</v>
      </c>
      <c r="BM183" s="5" t="str">
        <f t="shared" si="287"/>
        <v>х</v>
      </c>
      <c r="BN183" s="5" t="str">
        <f>"х"</f>
        <v>х</v>
      </c>
      <c r="BO183" s="5" t="str">
        <f t="shared" si="288"/>
        <v>х</v>
      </c>
      <c r="BP183" s="5" t="str">
        <f t="shared" si="288"/>
        <v>х</v>
      </c>
      <c r="BQ183" s="5" t="str">
        <f t="shared" si="288"/>
        <v>х</v>
      </c>
      <c r="BR183" s="5" t="str">
        <f>"1974"</f>
        <v>1974</v>
      </c>
      <c r="BS183" s="5" t="str">
        <f>"70,00"</f>
        <v>70,00</v>
      </c>
      <c r="BT183" s="5" t="str">
        <f>"2019"</f>
        <v>2019</v>
      </c>
      <c r="BU183" s="5" t="str">
        <f t="shared" si="223"/>
        <v>нет</v>
      </c>
      <c r="BV183" s="5" t="str">
        <f t="shared" si="289"/>
        <v>x</v>
      </c>
      <c r="BW183" s="5" t="str">
        <f t="shared" si="289"/>
        <v>x</v>
      </c>
      <c r="BX183" s="5" t="str">
        <f t="shared" si="289"/>
        <v>x</v>
      </c>
      <c r="BY183" s="5" t="str">
        <f t="shared" si="280"/>
        <v>нет</v>
      </c>
      <c r="BZ183" s="5" t="str">
        <f t="shared" si="304"/>
        <v>x</v>
      </c>
      <c r="CA183" s="5" t="str">
        <f t="shared" si="304"/>
        <v>x</v>
      </c>
      <c r="CB183" s="5" t="str">
        <f t="shared" si="304"/>
        <v>x</v>
      </c>
      <c r="CC183" s="5" t="str">
        <f>"1974"</f>
        <v>1974</v>
      </c>
      <c r="CD183" s="5" t="str">
        <f>"50,00"</f>
        <v>50,00</v>
      </c>
      <c r="CE183" s="5" t="str">
        <f>"2020"</f>
        <v>2020</v>
      </c>
      <c r="CF183" s="5" t="str">
        <f>"1974"</f>
        <v>1974</v>
      </c>
      <c r="CG183" s="5" t="str">
        <f>"70,00"</f>
        <v>70,00</v>
      </c>
      <c r="CH183" s="5" t="str">
        <f>"2019"</f>
        <v>2019</v>
      </c>
      <c r="CI183" s="5" t="str">
        <f>"50,00"</f>
        <v>50,00</v>
      </c>
      <c r="CJ183" s="5" t="str">
        <f t="shared" si="305"/>
        <v>2020</v>
      </c>
    </row>
    <row r="184" spans="1:88" ht="11.25" customHeight="1">
      <c r="A184" s="3" t="str">
        <f>"1.171"</f>
        <v>1.171</v>
      </c>
      <c r="B184" s="4" t="str">
        <f>"г. Грязовец, ул. Лесная, д.18"</f>
        <v>г. Грязовец, ул. Лесная, д.18</v>
      </c>
      <c r="C184" s="7" t="str">
        <f>"1983"</f>
        <v>1983</v>
      </c>
      <c r="D184" s="5" t="str">
        <f t="shared" ref="D184:N184" si="315">"х"</f>
        <v>х</v>
      </c>
      <c r="E184" s="5" t="str">
        <f t="shared" si="315"/>
        <v>х</v>
      </c>
      <c r="F184" s="5" t="str">
        <f t="shared" si="315"/>
        <v>х</v>
      </c>
      <c r="G184" s="5" t="str">
        <f t="shared" si="315"/>
        <v>х</v>
      </c>
      <c r="H184" s="5" t="str">
        <f t="shared" si="315"/>
        <v>х</v>
      </c>
      <c r="I184" s="5" t="str">
        <f t="shared" si="315"/>
        <v>х</v>
      </c>
      <c r="J184" s="5" t="str">
        <f t="shared" si="315"/>
        <v>х</v>
      </c>
      <c r="K184" s="5" t="str">
        <f t="shared" si="315"/>
        <v>х</v>
      </c>
      <c r="L184" s="5" t="str">
        <f t="shared" si="315"/>
        <v>х</v>
      </c>
      <c r="M184" s="5" t="str">
        <f t="shared" si="315"/>
        <v>х</v>
      </c>
      <c r="N184" s="5" t="str">
        <f t="shared" si="315"/>
        <v>х</v>
      </c>
      <c r="O184" s="8" t="str">
        <f t="shared" si="310"/>
        <v>х</v>
      </c>
      <c r="P184" s="5" t="str">
        <f t="shared" si="310"/>
        <v>х</v>
      </c>
      <c r="Q184" s="5" t="str">
        <f t="shared" si="310"/>
        <v>х</v>
      </c>
      <c r="R184" s="5" t="str">
        <f>"х"</f>
        <v>х</v>
      </c>
      <c r="S184" s="5" t="str">
        <f t="shared" si="281"/>
        <v>х</v>
      </c>
      <c r="T184" s="5" t="str">
        <f t="shared" si="281"/>
        <v>х</v>
      </c>
      <c r="U184" s="5" t="str">
        <f t="shared" si="281"/>
        <v>х</v>
      </c>
      <c r="V184" s="5" t="str">
        <f>"х"</f>
        <v>х</v>
      </c>
      <c r="W184" s="5" t="str">
        <f t="shared" si="282"/>
        <v>х</v>
      </c>
      <c r="X184" s="5" t="str">
        <f t="shared" si="282"/>
        <v>х</v>
      </c>
      <c r="Y184" s="9" t="str">
        <f t="shared" si="282"/>
        <v>х</v>
      </c>
      <c r="Z184" s="5" t="str">
        <f t="shared" si="311"/>
        <v>х</v>
      </c>
      <c r="AA184" s="5" t="str">
        <f t="shared" si="311"/>
        <v>х</v>
      </c>
      <c r="AB184" s="5" t="str">
        <f t="shared" si="311"/>
        <v>х</v>
      </c>
      <c r="AC184" s="5" t="str">
        <f>"х"</f>
        <v>х</v>
      </c>
      <c r="AD184" s="5" t="str">
        <f t="shared" si="308"/>
        <v>х</v>
      </c>
      <c r="AE184" s="5" t="str">
        <f t="shared" si="308"/>
        <v>х</v>
      </c>
      <c r="AF184" s="5" t="str">
        <f t="shared" si="308"/>
        <v>х</v>
      </c>
      <c r="AG184" s="5" t="str">
        <f>"х"</f>
        <v>х</v>
      </c>
      <c r="AH184" s="5" t="str">
        <f t="shared" si="309"/>
        <v>х</v>
      </c>
      <c r="AI184" s="5" t="str">
        <f t="shared" si="309"/>
        <v>х</v>
      </c>
      <c r="AJ184" s="5" t="str">
        <f t="shared" si="309"/>
        <v>х</v>
      </c>
      <c r="AK184" s="8" t="str">
        <f t="shared" si="312"/>
        <v>х</v>
      </c>
      <c r="AL184" s="5" t="str">
        <f t="shared" si="312"/>
        <v>х</v>
      </c>
      <c r="AM184" s="5" t="str">
        <f t="shared" si="312"/>
        <v>х</v>
      </c>
      <c r="AN184" s="5" t="str">
        <f t="shared" si="312"/>
        <v>х</v>
      </c>
      <c r="AO184" s="5" t="str">
        <f t="shared" si="292"/>
        <v>х</v>
      </c>
      <c r="AP184" s="5" t="str">
        <f t="shared" si="283"/>
        <v>х</v>
      </c>
      <c r="AQ184" s="5" t="str">
        <f t="shared" si="293"/>
        <v>х</v>
      </c>
      <c r="AR184" s="5" t="str">
        <f>"х"</f>
        <v>х</v>
      </c>
      <c r="AS184" s="5" t="str">
        <f t="shared" si="294"/>
        <v>х</v>
      </c>
      <c r="AT184" s="5" t="str">
        <f t="shared" si="284"/>
        <v>х</v>
      </c>
      <c r="AU184" s="5" t="str">
        <f t="shared" si="295"/>
        <v>х</v>
      </c>
      <c r="AV184" s="5" t="str">
        <f t="shared" si="313"/>
        <v>х</v>
      </c>
      <c r="AW184" s="5" t="str">
        <f t="shared" si="313"/>
        <v>х</v>
      </c>
      <c r="AX184" s="5" t="str">
        <f t="shared" si="313"/>
        <v>х</v>
      </c>
      <c r="AY184" s="5" t="str">
        <f t="shared" si="313"/>
        <v>х</v>
      </c>
      <c r="AZ184" s="5" t="str">
        <f t="shared" si="296"/>
        <v>х</v>
      </c>
      <c r="BA184" s="5" t="str">
        <f t="shared" si="285"/>
        <v>х</v>
      </c>
      <c r="BB184" s="5" t="str">
        <f t="shared" si="297"/>
        <v>х</v>
      </c>
      <c r="BC184" s="5" t="str">
        <f>"х"</f>
        <v>х</v>
      </c>
      <c r="BD184" s="5" t="str">
        <f t="shared" si="298"/>
        <v>х</v>
      </c>
      <c r="BE184" s="5" t="str">
        <f t="shared" si="286"/>
        <v>х</v>
      </c>
      <c r="BF184" s="5" t="str">
        <f t="shared" si="299"/>
        <v>х</v>
      </c>
      <c r="BG184" s="5" t="str">
        <f t="shared" si="314"/>
        <v>х</v>
      </c>
      <c r="BH184" s="5" t="str">
        <f t="shared" si="314"/>
        <v>х</v>
      </c>
      <c r="BI184" s="5" t="str">
        <f t="shared" si="314"/>
        <v>х</v>
      </c>
      <c r="BJ184" s="5" t="str">
        <f t="shared" si="314"/>
        <v>х</v>
      </c>
      <c r="BK184" s="5" t="str">
        <f t="shared" si="287"/>
        <v>х</v>
      </c>
      <c r="BL184" s="5" t="str">
        <f t="shared" si="287"/>
        <v>х</v>
      </c>
      <c r="BM184" s="5" t="str">
        <f t="shared" si="287"/>
        <v>х</v>
      </c>
      <c r="BN184" s="5" t="str">
        <f>"х"</f>
        <v>х</v>
      </c>
      <c r="BO184" s="5" t="str">
        <f t="shared" si="288"/>
        <v>х</v>
      </c>
      <c r="BP184" s="5" t="str">
        <f t="shared" si="288"/>
        <v>х</v>
      </c>
      <c r="BQ184" s="5" t="str">
        <f t="shared" si="288"/>
        <v>х</v>
      </c>
      <c r="BR184" s="5" t="str">
        <f>"1983"</f>
        <v>1983</v>
      </c>
      <c r="BS184" s="5" t="str">
        <f>"50,00"</f>
        <v>50,00</v>
      </c>
      <c r="BT184" s="5" t="str">
        <f>"2017"</f>
        <v>2017</v>
      </c>
      <c r="BU184" s="5" t="str">
        <f t="shared" si="223"/>
        <v>нет</v>
      </c>
      <c r="BV184" s="5" t="str">
        <f t="shared" si="289"/>
        <v>x</v>
      </c>
      <c r="BW184" s="5" t="str">
        <f t="shared" si="289"/>
        <v>x</v>
      </c>
      <c r="BX184" s="5" t="str">
        <f t="shared" si="289"/>
        <v>x</v>
      </c>
      <c r="BY184" s="5" t="str">
        <f t="shared" si="280"/>
        <v>нет</v>
      </c>
      <c r="BZ184" s="5" t="str">
        <f t="shared" si="304"/>
        <v>x</v>
      </c>
      <c r="CA184" s="5" t="str">
        <f t="shared" si="304"/>
        <v>x</v>
      </c>
      <c r="CB184" s="5" t="str">
        <f t="shared" si="304"/>
        <v>x</v>
      </c>
      <c r="CC184" s="5" t="str">
        <f>"1983"</f>
        <v>1983</v>
      </c>
      <c r="CD184" s="5" t="str">
        <f>"40,00"</f>
        <v>40,00</v>
      </c>
      <c r="CE184" s="5" t="str">
        <f>"2019"</f>
        <v>2019</v>
      </c>
      <c r="CF184" s="5" t="str">
        <f>"1983"</f>
        <v>1983</v>
      </c>
      <c r="CG184" s="5" t="str">
        <f>"50,00"</f>
        <v>50,00</v>
      </c>
      <c r="CH184" s="5" t="str">
        <f>"2020"</f>
        <v>2020</v>
      </c>
      <c r="CI184" s="5" t="str">
        <f>"40,00"</f>
        <v>40,00</v>
      </c>
      <c r="CJ184" s="5" t="str">
        <f t="shared" si="305"/>
        <v>2020</v>
      </c>
    </row>
    <row r="185" spans="1:88" ht="11.25" customHeight="1">
      <c r="A185" s="3" t="str">
        <f>"1.172"</f>
        <v>1.172</v>
      </c>
      <c r="B185" s="4" t="str">
        <f>"г. Грязовец, ул. Лесная, д.19"</f>
        <v>г. Грязовец, ул. Лесная, д.19</v>
      </c>
      <c r="C185" s="7" t="str">
        <f>"1973"</f>
        <v>1973</v>
      </c>
      <c r="D185" s="5" t="str">
        <f>"1973"</f>
        <v>1973</v>
      </c>
      <c r="E185" s="5" t="str">
        <f>"35,00"</f>
        <v>35,00</v>
      </c>
      <c r="F185" s="5" t="str">
        <f>"2025"</f>
        <v>2025</v>
      </c>
      <c r="G185" s="5" t="str">
        <f t="shared" ref="G185:G209" si="316">"да"</f>
        <v>да</v>
      </c>
      <c r="H185" s="5" t="str">
        <f>"1973"</f>
        <v>1973</v>
      </c>
      <c r="I185" s="5" t="str">
        <f>"35,00"</f>
        <v>35,00</v>
      </c>
      <c r="J185" s="5" t="str">
        <f>"2025"</f>
        <v>2025</v>
      </c>
      <c r="K185" s="5" t="str">
        <f t="shared" ref="K185:K209" si="317">"да"</f>
        <v>да</v>
      </c>
      <c r="L185" s="5" t="str">
        <f>"1973"</f>
        <v>1973</v>
      </c>
      <c r="M185" s="5" t="str">
        <f>"35,00"</f>
        <v>35,00</v>
      </c>
      <c r="N185" s="5" t="str">
        <f>"2025"</f>
        <v>2025</v>
      </c>
      <c r="O185" s="8" t="str">
        <f t="shared" si="310"/>
        <v>х</v>
      </c>
      <c r="P185" s="5" t="str">
        <f t="shared" si="310"/>
        <v>х</v>
      </c>
      <c r="Q185" s="5" t="str">
        <f t="shared" si="310"/>
        <v>х</v>
      </c>
      <c r="R185" s="5" t="str">
        <f>"х"</f>
        <v>х</v>
      </c>
      <c r="S185" s="5" t="str">
        <f t="shared" si="281"/>
        <v>х</v>
      </c>
      <c r="T185" s="5" t="str">
        <f t="shared" si="281"/>
        <v>х</v>
      </c>
      <c r="U185" s="5" t="str">
        <f t="shared" si="281"/>
        <v>х</v>
      </c>
      <c r="V185" s="5" t="str">
        <f>"х"</f>
        <v>х</v>
      </c>
      <c r="W185" s="5" t="str">
        <f t="shared" si="282"/>
        <v>х</v>
      </c>
      <c r="X185" s="5" t="str">
        <f t="shared" si="282"/>
        <v>х</v>
      </c>
      <c r="Y185" s="9" t="str">
        <f t="shared" si="282"/>
        <v>х</v>
      </c>
      <c r="Z185" s="5" t="str">
        <f>""</f>
        <v/>
      </c>
      <c r="AA185" s="5" t="str">
        <f>"25,00"</f>
        <v>25,00</v>
      </c>
      <c r="AB185" s="5" t="str">
        <f>"2027"</f>
        <v>2027</v>
      </c>
      <c r="AC185" s="5" t="str">
        <f t="shared" ref="AC185:AC200" si="318">"нет"</f>
        <v>нет</v>
      </c>
      <c r="AD185" s="5" t="str">
        <f>""</f>
        <v/>
      </c>
      <c r="AE185" s="5" t="str">
        <f>""</f>
        <v/>
      </c>
      <c r="AF185" s="5" t="str">
        <f>""</f>
        <v/>
      </c>
      <c r="AG185" s="5" t="str">
        <f t="shared" ref="AG185:AG200" si="319">"нет"</f>
        <v>нет</v>
      </c>
      <c r="AH185" s="5" t="str">
        <f>""</f>
        <v/>
      </c>
      <c r="AI185" s="5" t="str">
        <f>""</f>
        <v/>
      </c>
      <c r="AJ185" s="5" t="str">
        <f>""</f>
        <v/>
      </c>
      <c r="AK185" s="8" t="str">
        <f t="shared" si="312"/>
        <v>х</v>
      </c>
      <c r="AL185" s="5" t="str">
        <f t="shared" si="312"/>
        <v>х</v>
      </c>
      <c r="AM185" s="5" t="str">
        <f t="shared" si="312"/>
        <v>х</v>
      </c>
      <c r="AN185" s="5" t="str">
        <f t="shared" si="312"/>
        <v>х</v>
      </c>
      <c r="AO185" s="5" t="str">
        <f t="shared" si="292"/>
        <v>х</v>
      </c>
      <c r="AP185" s="5" t="str">
        <f t="shared" si="283"/>
        <v>х</v>
      </c>
      <c r="AQ185" s="5" t="str">
        <f t="shared" si="293"/>
        <v>х</v>
      </c>
      <c r="AR185" s="5" t="str">
        <f>"х"</f>
        <v>х</v>
      </c>
      <c r="AS185" s="5" t="str">
        <f t="shared" si="294"/>
        <v>х</v>
      </c>
      <c r="AT185" s="5" t="str">
        <f t="shared" si="284"/>
        <v>х</v>
      </c>
      <c r="AU185" s="5" t="str">
        <f t="shared" si="295"/>
        <v>х</v>
      </c>
      <c r="AV185" s="5" t="str">
        <f t="shared" si="313"/>
        <v>х</v>
      </c>
      <c r="AW185" s="5" t="str">
        <f t="shared" si="313"/>
        <v>х</v>
      </c>
      <c r="AX185" s="5" t="str">
        <f t="shared" si="313"/>
        <v>х</v>
      </c>
      <c r="AY185" s="5" t="str">
        <f t="shared" si="313"/>
        <v>х</v>
      </c>
      <c r="AZ185" s="5" t="str">
        <f t="shared" si="296"/>
        <v>х</v>
      </c>
      <c r="BA185" s="5" t="str">
        <f t="shared" si="285"/>
        <v>х</v>
      </c>
      <c r="BB185" s="5" t="str">
        <f t="shared" si="297"/>
        <v>х</v>
      </c>
      <c r="BC185" s="5" t="str">
        <f>"х"</f>
        <v>х</v>
      </c>
      <c r="BD185" s="5" t="str">
        <f t="shared" si="298"/>
        <v>х</v>
      </c>
      <c r="BE185" s="5" t="str">
        <f t="shared" si="286"/>
        <v>х</v>
      </c>
      <c r="BF185" s="5" t="str">
        <f t="shared" si="299"/>
        <v>х</v>
      </c>
      <c r="BG185" s="5" t="str">
        <f t="shared" si="314"/>
        <v>х</v>
      </c>
      <c r="BH185" s="5" t="str">
        <f t="shared" si="314"/>
        <v>х</v>
      </c>
      <c r="BI185" s="5" t="str">
        <f t="shared" si="314"/>
        <v>х</v>
      </c>
      <c r="BJ185" s="5" t="str">
        <f t="shared" si="314"/>
        <v>х</v>
      </c>
      <c r="BK185" s="5" t="str">
        <f t="shared" si="287"/>
        <v>х</v>
      </c>
      <c r="BL185" s="5" t="str">
        <f t="shared" si="287"/>
        <v>х</v>
      </c>
      <c r="BM185" s="5" t="str">
        <f t="shared" si="287"/>
        <v>х</v>
      </c>
      <c r="BN185" s="5" t="str">
        <f>"х"</f>
        <v>х</v>
      </c>
      <c r="BO185" s="5" t="str">
        <f t="shared" si="288"/>
        <v>х</v>
      </c>
      <c r="BP185" s="5" t="str">
        <f t="shared" si="288"/>
        <v>х</v>
      </c>
      <c r="BQ185" s="5" t="str">
        <f t="shared" si="288"/>
        <v>х</v>
      </c>
      <c r="BR185" s="5" t="str">
        <f>"1973"</f>
        <v>1973</v>
      </c>
      <c r="BS185" s="5" t="str">
        <f>"50,00"</f>
        <v>50,00</v>
      </c>
      <c r="BT185" s="5" t="str">
        <f>"2024"</f>
        <v>2024</v>
      </c>
      <c r="BU185" s="5" t="str">
        <f t="shared" si="223"/>
        <v>нет</v>
      </c>
      <c r="BV185" s="5" t="str">
        <f t="shared" si="289"/>
        <v>x</v>
      </c>
      <c r="BW185" s="5" t="str">
        <f t="shared" si="289"/>
        <v>x</v>
      </c>
      <c r="BX185" s="5" t="str">
        <f t="shared" si="289"/>
        <v>x</v>
      </c>
      <c r="BY185" s="5" t="str">
        <f t="shared" si="280"/>
        <v>нет</v>
      </c>
      <c r="BZ185" s="5" t="str">
        <f>"1973"</f>
        <v>1973</v>
      </c>
      <c r="CA185" s="5" t="str">
        <f>"50,00"</f>
        <v>50,00</v>
      </c>
      <c r="CB185" s="5" t="str">
        <f>"2023"</f>
        <v>2023</v>
      </c>
      <c r="CC185" s="5" t="str">
        <f>"1973"</f>
        <v>1973</v>
      </c>
      <c r="CD185" s="5" t="str">
        <f>"48,00"</f>
        <v>48,00</v>
      </c>
      <c r="CE185" s="5" t="str">
        <f>"2023"</f>
        <v>2023</v>
      </c>
      <c r="CF185" s="5" t="str">
        <f>"1973"</f>
        <v>1973</v>
      </c>
      <c r="CG185" s="5" t="str">
        <f>"50,00"</f>
        <v>50,00</v>
      </c>
      <c r="CH185" s="5" t="str">
        <f>"2022"</f>
        <v>2022</v>
      </c>
      <c r="CI185" s="5" t="str">
        <f>"33,00"</f>
        <v>33,00</v>
      </c>
      <c r="CJ185" s="5" t="str">
        <f>"2030"</f>
        <v>2030</v>
      </c>
    </row>
    <row r="186" spans="1:88" ht="11.25" customHeight="1">
      <c r="A186" s="3" t="str">
        <f>"1.173"</f>
        <v>1.173</v>
      </c>
      <c r="B186" s="4" t="str">
        <f>"г. Грязовец, ул. Лесная, д.20"</f>
        <v>г. Грязовец, ул. Лесная, д.20</v>
      </c>
      <c r="C186" s="7" t="str">
        <f>"1974"</f>
        <v>1974</v>
      </c>
      <c r="D186" s="5" t="str">
        <f>"1974"</f>
        <v>1974</v>
      </c>
      <c r="E186" s="5" t="str">
        <f>"39,00"</f>
        <v>39,00</v>
      </c>
      <c r="F186" s="5" t="str">
        <f>"2020"</f>
        <v>2020</v>
      </c>
      <c r="G186" s="5" t="str">
        <f t="shared" si="316"/>
        <v>да</v>
      </c>
      <c r="H186" s="5" t="str">
        <f>"1974"</f>
        <v>1974</v>
      </c>
      <c r="I186" s="5" t="str">
        <f>"39,00"</f>
        <v>39,00</v>
      </c>
      <c r="J186" s="5" t="str">
        <f>"2020"</f>
        <v>2020</v>
      </c>
      <c r="K186" s="5" t="str">
        <f t="shared" si="317"/>
        <v>да</v>
      </c>
      <c r="L186" s="5" t="str">
        <f>"1974"</f>
        <v>1974</v>
      </c>
      <c r="M186" s="5" t="str">
        <f>"39,00"</f>
        <v>39,00</v>
      </c>
      <c r="N186" s="5" t="str">
        <f>"2020"</f>
        <v>2020</v>
      </c>
      <c r="O186" s="8" t="str">
        <f t="shared" si="310"/>
        <v>х</v>
      </c>
      <c r="P186" s="5" t="str">
        <f t="shared" si="310"/>
        <v>х</v>
      </c>
      <c r="Q186" s="5" t="str">
        <f t="shared" si="310"/>
        <v>х</v>
      </c>
      <c r="R186" s="5" t="str">
        <f>"х"</f>
        <v>х</v>
      </c>
      <c r="S186" s="5" t="str">
        <f t="shared" si="281"/>
        <v>х</v>
      </c>
      <c r="T186" s="5" t="str">
        <f t="shared" si="281"/>
        <v>х</v>
      </c>
      <c r="U186" s="5" t="str">
        <f t="shared" si="281"/>
        <v>х</v>
      </c>
      <c r="V186" s="5" t="str">
        <f>"х"</f>
        <v>х</v>
      </c>
      <c r="W186" s="5" t="str">
        <f t="shared" si="282"/>
        <v>х</v>
      </c>
      <c r="X186" s="5" t="str">
        <f t="shared" si="282"/>
        <v>х</v>
      </c>
      <c r="Y186" s="9" t="str">
        <f t="shared" si="282"/>
        <v>х</v>
      </c>
      <c r="Z186" s="5" t="str">
        <f>""</f>
        <v/>
      </c>
      <c r="AA186" s="5" t="str">
        <f>"40,00"</f>
        <v>40,00</v>
      </c>
      <c r="AB186" s="5" t="str">
        <f>"2022"</f>
        <v>2022</v>
      </c>
      <c r="AC186" s="5" t="str">
        <f t="shared" si="318"/>
        <v>нет</v>
      </c>
      <c r="AD186" s="5" t="str">
        <f>""</f>
        <v/>
      </c>
      <c r="AE186" s="5" t="str">
        <f>""</f>
        <v/>
      </c>
      <c r="AF186" s="5" t="str">
        <f>""</f>
        <v/>
      </c>
      <c r="AG186" s="5" t="str">
        <f t="shared" si="319"/>
        <v>нет</v>
      </c>
      <c r="AH186" s="5" t="str">
        <f>""</f>
        <v/>
      </c>
      <c r="AI186" s="5" t="str">
        <f>""</f>
        <v/>
      </c>
      <c r="AJ186" s="5" t="str">
        <f>""</f>
        <v/>
      </c>
      <c r="AK186" s="8" t="str">
        <f t="shared" si="312"/>
        <v>х</v>
      </c>
      <c r="AL186" s="5" t="str">
        <f t="shared" si="312"/>
        <v>х</v>
      </c>
      <c r="AM186" s="5" t="str">
        <f t="shared" si="312"/>
        <v>х</v>
      </c>
      <c r="AN186" s="5" t="str">
        <f t="shared" si="312"/>
        <v>х</v>
      </c>
      <c r="AO186" s="5" t="str">
        <f t="shared" si="292"/>
        <v>х</v>
      </c>
      <c r="AP186" s="5" t="str">
        <f t="shared" si="283"/>
        <v>х</v>
      </c>
      <c r="AQ186" s="5" t="str">
        <f t="shared" si="293"/>
        <v>х</v>
      </c>
      <c r="AR186" s="5" t="str">
        <f>"х"</f>
        <v>х</v>
      </c>
      <c r="AS186" s="5" t="str">
        <f t="shared" si="294"/>
        <v>х</v>
      </c>
      <c r="AT186" s="5" t="str">
        <f t="shared" si="284"/>
        <v>х</v>
      </c>
      <c r="AU186" s="5" t="str">
        <f t="shared" si="295"/>
        <v>х</v>
      </c>
      <c r="AV186" s="5" t="str">
        <f t="shared" si="313"/>
        <v>х</v>
      </c>
      <c r="AW186" s="5" t="str">
        <f t="shared" si="313"/>
        <v>х</v>
      </c>
      <c r="AX186" s="5" t="str">
        <f t="shared" si="313"/>
        <v>х</v>
      </c>
      <c r="AY186" s="5" t="str">
        <f t="shared" si="313"/>
        <v>х</v>
      </c>
      <c r="AZ186" s="5" t="str">
        <f t="shared" si="296"/>
        <v>х</v>
      </c>
      <c r="BA186" s="5" t="str">
        <f t="shared" si="285"/>
        <v>х</v>
      </c>
      <c r="BB186" s="5" t="str">
        <f t="shared" si="297"/>
        <v>х</v>
      </c>
      <c r="BC186" s="5" t="str">
        <f>"х"</f>
        <v>х</v>
      </c>
      <c r="BD186" s="5" t="str">
        <f t="shared" si="298"/>
        <v>х</v>
      </c>
      <c r="BE186" s="5" t="str">
        <f t="shared" si="286"/>
        <v>х</v>
      </c>
      <c r="BF186" s="5" t="str">
        <f t="shared" si="299"/>
        <v>х</v>
      </c>
      <c r="BG186" s="5" t="str">
        <f t="shared" si="314"/>
        <v>х</v>
      </c>
      <c r="BH186" s="5" t="str">
        <f t="shared" si="314"/>
        <v>х</v>
      </c>
      <c r="BI186" s="5" t="str">
        <f t="shared" si="314"/>
        <v>х</v>
      </c>
      <c r="BJ186" s="5" t="str">
        <f t="shared" si="314"/>
        <v>х</v>
      </c>
      <c r="BK186" s="5" t="str">
        <f t="shared" si="287"/>
        <v>х</v>
      </c>
      <c r="BL186" s="5" t="str">
        <f t="shared" si="287"/>
        <v>х</v>
      </c>
      <c r="BM186" s="5" t="str">
        <f t="shared" si="287"/>
        <v>х</v>
      </c>
      <c r="BN186" s="5" t="str">
        <f>"х"</f>
        <v>х</v>
      </c>
      <c r="BO186" s="5" t="str">
        <f t="shared" si="288"/>
        <v>х</v>
      </c>
      <c r="BP186" s="5" t="str">
        <f t="shared" si="288"/>
        <v>х</v>
      </c>
      <c r="BQ186" s="5" t="str">
        <f t="shared" si="288"/>
        <v>х</v>
      </c>
      <c r="BR186" s="5" t="str">
        <f>"1974"</f>
        <v>1974</v>
      </c>
      <c r="BS186" s="5" t="str">
        <f>"60,00"</f>
        <v>60,00</v>
      </c>
      <c r="BT186" s="5" t="str">
        <f>"2021"</f>
        <v>2021</v>
      </c>
      <c r="BU186" s="5" t="str">
        <f t="shared" si="223"/>
        <v>нет</v>
      </c>
      <c r="BV186" s="5" t="str">
        <f t="shared" si="289"/>
        <v>x</v>
      </c>
      <c r="BW186" s="5" t="str">
        <f t="shared" si="289"/>
        <v>x</v>
      </c>
      <c r="BX186" s="5" t="str">
        <f t="shared" si="289"/>
        <v>x</v>
      </c>
      <c r="BY186" s="5" t="str">
        <f t="shared" si="280"/>
        <v>нет</v>
      </c>
      <c r="BZ186" s="5" t="str">
        <f>"x"</f>
        <v>x</v>
      </c>
      <c r="CA186" s="5" t="str">
        <f>"x"</f>
        <v>x</v>
      </c>
      <c r="CB186" s="5" t="str">
        <f>"x"</f>
        <v>x</v>
      </c>
      <c r="CC186" s="5" t="str">
        <f>"1974"</f>
        <v>1974</v>
      </c>
      <c r="CD186" s="5" t="str">
        <f>"50,00"</f>
        <v>50,00</v>
      </c>
      <c r="CE186" s="5" t="str">
        <f>"2021"</f>
        <v>2021</v>
      </c>
      <c r="CF186" s="5" t="str">
        <f>"1974"</f>
        <v>1974</v>
      </c>
      <c r="CG186" s="5" t="str">
        <f>"60,00"</f>
        <v>60,00</v>
      </c>
      <c r="CH186" s="5" t="str">
        <f>"2020"</f>
        <v>2020</v>
      </c>
      <c r="CI186" s="5" t="str">
        <f>"51,00"</f>
        <v>51,00</v>
      </c>
      <c r="CJ186" s="5" t="str">
        <f>"2022"</f>
        <v>2022</v>
      </c>
    </row>
    <row r="187" spans="1:88" ht="11.25" customHeight="1">
      <c r="A187" s="3" t="str">
        <f>"1.174"</f>
        <v>1.174</v>
      </c>
      <c r="B187" s="4" t="str">
        <f>"г. Грязовец, ул. Лесная, д.22"</f>
        <v>г. Грязовец, ул. Лесная, д.22</v>
      </c>
      <c r="C187" s="7" t="str">
        <f>"1976"</f>
        <v>1976</v>
      </c>
      <c r="D187" s="5" t="str">
        <f>"1976"</f>
        <v>1976</v>
      </c>
      <c r="E187" s="5" t="str">
        <f>"60,00"</f>
        <v>60,00</v>
      </c>
      <c r="F187" s="5" t="str">
        <f>"2021"</f>
        <v>2021</v>
      </c>
      <c r="G187" s="5" t="str">
        <f t="shared" si="316"/>
        <v>да</v>
      </c>
      <c r="H187" s="5" t="str">
        <f>"1976"</f>
        <v>1976</v>
      </c>
      <c r="I187" s="5" t="str">
        <f>"60,00"</f>
        <v>60,00</v>
      </c>
      <c r="J187" s="5" t="str">
        <f>"2021"</f>
        <v>2021</v>
      </c>
      <c r="K187" s="5" t="str">
        <f t="shared" si="317"/>
        <v>да</v>
      </c>
      <c r="L187" s="5" t="str">
        <f>"1976"</f>
        <v>1976</v>
      </c>
      <c r="M187" s="5" t="str">
        <f>"60,00"</f>
        <v>60,00</v>
      </c>
      <c r="N187" s="5" t="str">
        <f>"2021"</f>
        <v>2021</v>
      </c>
      <c r="O187" s="8" t="str">
        <f>"1976"</f>
        <v>1976</v>
      </c>
      <c r="P187" s="5" t="str">
        <f>"56,00"</f>
        <v>56,00</v>
      </c>
      <c r="Q187" s="5" t="str">
        <f>"2020"</f>
        <v>2020</v>
      </c>
      <c r="R187" s="5" t="str">
        <f>"нет"</f>
        <v>нет</v>
      </c>
      <c r="S187" s="5" t="str">
        <f t="shared" si="281"/>
        <v>х</v>
      </c>
      <c r="T187" s="5" t="str">
        <f t="shared" si="281"/>
        <v>х</v>
      </c>
      <c r="U187" s="5" t="str">
        <f t="shared" si="281"/>
        <v>х</v>
      </c>
      <c r="V187" s="5" t="str">
        <f>"нет"</f>
        <v>нет</v>
      </c>
      <c r="W187" s="5" t="str">
        <f t="shared" si="282"/>
        <v>х</v>
      </c>
      <c r="X187" s="5" t="str">
        <f t="shared" si="282"/>
        <v>х</v>
      </c>
      <c r="Y187" s="9" t="str">
        <f t="shared" si="282"/>
        <v>х</v>
      </c>
      <c r="Z187" s="5" t="str">
        <f>"1976"</f>
        <v>1976</v>
      </c>
      <c r="AA187" s="5" t="str">
        <f>"50,00"</f>
        <v>50,00</v>
      </c>
      <c r="AB187" s="5" t="str">
        <f>"2021"</f>
        <v>2021</v>
      </c>
      <c r="AC187" s="5" t="str">
        <f t="shared" si="318"/>
        <v>нет</v>
      </c>
      <c r="AD187" s="5" t="str">
        <f>""</f>
        <v/>
      </c>
      <c r="AE187" s="5" t="str">
        <f>""</f>
        <v/>
      </c>
      <c r="AF187" s="5" t="str">
        <f>""</f>
        <v/>
      </c>
      <c r="AG187" s="5" t="str">
        <f t="shared" si="319"/>
        <v>нет</v>
      </c>
      <c r="AH187" s="5" t="str">
        <f>""</f>
        <v/>
      </c>
      <c r="AI187" s="5" t="str">
        <f>""</f>
        <v/>
      </c>
      <c r="AJ187" s="5" t="str">
        <f>""</f>
        <v/>
      </c>
      <c r="AK187" s="8" t="str">
        <f>"1976"</f>
        <v>1976</v>
      </c>
      <c r="AL187" s="5" t="str">
        <f>"60,00"</f>
        <v>60,00</v>
      </c>
      <c r="AM187" s="5" t="str">
        <f>"2021"</f>
        <v>2021</v>
      </c>
      <c r="AN187" s="5" t="str">
        <f>"нет"</f>
        <v>нет</v>
      </c>
      <c r="AO187" s="5" t="str">
        <f t="shared" si="292"/>
        <v>х</v>
      </c>
      <c r="AP187" s="5" t="str">
        <f t="shared" si="283"/>
        <v>х</v>
      </c>
      <c r="AQ187" s="5" t="str">
        <f t="shared" si="293"/>
        <v>х</v>
      </c>
      <c r="AR187" s="5" t="str">
        <f>"нет"</f>
        <v>нет</v>
      </c>
      <c r="AS187" s="5" t="str">
        <f t="shared" si="294"/>
        <v>х</v>
      </c>
      <c r="AT187" s="5" t="str">
        <f t="shared" si="284"/>
        <v>х</v>
      </c>
      <c r="AU187" s="5" t="str">
        <f t="shared" si="295"/>
        <v>х</v>
      </c>
      <c r="AV187" s="5" t="str">
        <f>"1976"</f>
        <v>1976</v>
      </c>
      <c r="AW187" s="5" t="str">
        <f>"52,00"</f>
        <v>52,00</v>
      </c>
      <c r="AX187" s="5" t="str">
        <f>"2021"</f>
        <v>2021</v>
      </c>
      <c r="AY187" s="5" t="str">
        <f>"нет"</f>
        <v>нет</v>
      </c>
      <c r="AZ187" s="5" t="str">
        <f t="shared" si="296"/>
        <v>х</v>
      </c>
      <c r="BA187" s="5" t="str">
        <f t="shared" si="285"/>
        <v>х</v>
      </c>
      <c r="BB187" s="5" t="str">
        <f t="shared" si="297"/>
        <v>х</v>
      </c>
      <c r="BC187" s="5" t="str">
        <f>"нет"</f>
        <v>нет</v>
      </c>
      <c r="BD187" s="5" t="str">
        <f t="shared" si="298"/>
        <v>х</v>
      </c>
      <c r="BE187" s="5" t="str">
        <f t="shared" si="286"/>
        <v>х</v>
      </c>
      <c r="BF187" s="5" t="str">
        <f t="shared" si="299"/>
        <v>х</v>
      </c>
      <c r="BG187" s="5" t="str">
        <f>"1976"</f>
        <v>1976</v>
      </c>
      <c r="BH187" s="5" t="str">
        <f>"54,00"</f>
        <v>54,00</v>
      </c>
      <c r="BI187" s="5" t="str">
        <f>"2021"</f>
        <v>2021</v>
      </c>
      <c r="BJ187" s="5" t="str">
        <f>"нет"</f>
        <v>нет</v>
      </c>
      <c r="BK187" s="5" t="str">
        <f t="shared" si="287"/>
        <v>х</v>
      </c>
      <c r="BL187" s="5" t="str">
        <f t="shared" si="287"/>
        <v>х</v>
      </c>
      <c r="BM187" s="5" t="str">
        <f t="shared" si="287"/>
        <v>х</v>
      </c>
      <c r="BN187" s="5" t="str">
        <f>"нет"</f>
        <v>нет</v>
      </c>
      <c r="BO187" s="5" t="str">
        <f t="shared" si="288"/>
        <v>х</v>
      </c>
      <c r="BP187" s="5" t="str">
        <f t="shared" si="288"/>
        <v>х</v>
      </c>
      <c r="BQ187" s="5" t="str">
        <f t="shared" si="288"/>
        <v>х</v>
      </c>
      <c r="BR187" s="5" t="str">
        <f>"1976"</f>
        <v>1976</v>
      </c>
      <c r="BS187" s="5" t="str">
        <f>"70,00"</f>
        <v>70,00</v>
      </c>
      <c r="BT187" s="5" t="str">
        <f>"2021"</f>
        <v>2021</v>
      </c>
      <c r="BU187" s="5" t="str">
        <f t="shared" si="223"/>
        <v>нет</v>
      </c>
      <c r="BV187" s="5" t="str">
        <f t="shared" si="289"/>
        <v>x</v>
      </c>
      <c r="BW187" s="5" t="str">
        <f t="shared" si="289"/>
        <v>x</v>
      </c>
      <c r="BX187" s="5" t="str">
        <f t="shared" si="289"/>
        <v>x</v>
      </c>
      <c r="BY187" s="5" t="str">
        <f t="shared" si="280"/>
        <v>нет</v>
      </c>
      <c r="BZ187" s="5" t="str">
        <f>"1976"</f>
        <v>1976</v>
      </c>
      <c r="CA187" s="5" t="str">
        <f>"51,00"</f>
        <v>51,00</v>
      </c>
      <c r="CB187" s="5" t="str">
        <f>"2020"</f>
        <v>2020</v>
      </c>
      <c r="CC187" s="5" t="str">
        <f>"1976"</f>
        <v>1976</v>
      </c>
      <c r="CD187" s="5" t="str">
        <f>"50,00"</f>
        <v>50,00</v>
      </c>
      <c r="CE187" s="5" t="str">
        <f>"2021"</f>
        <v>2021</v>
      </c>
      <c r="CF187" s="5" t="str">
        <f>"1976"</f>
        <v>1976</v>
      </c>
      <c r="CG187" s="5" t="str">
        <f>"65,00"</f>
        <v>65,00</v>
      </c>
      <c r="CH187" s="5" t="str">
        <f>"2020"</f>
        <v>2020</v>
      </c>
      <c r="CI187" s="5" t="str">
        <f>"50,00"</f>
        <v>50,00</v>
      </c>
      <c r="CJ187" s="5" t="str">
        <f>"2022"</f>
        <v>2022</v>
      </c>
    </row>
    <row r="188" spans="1:88" ht="11.25" customHeight="1">
      <c r="A188" s="3" t="str">
        <f>"1.175"</f>
        <v>1.175</v>
      </c>
      <c r="B188" s="4" t="str">
        <f>"г. Грязовец, ул. Лесная, д.23"</f>
        <v>г. Грязовец, ул. Лесная, д.23</v>
      </c>
      <c r="C188" s="7" t="str">
        <f>"1981"</f>
        <v>1981</v>
      </c>
      <c r="D188" s="5" t="str">
        <f>"1981"</f>
        <v>1981</v>
      </c>
      <c r="E188" s="5" t="str">
        <f>"15,00"</f>
        <v>15,00</v>
      </c>
      <c r="F188" s="5" t="str">
        <f>"2038"</f>
        <v>2038</v>
      </c>
      <c r="G188" s="5" t="str">
        <f t="shared" si="316"/>
        <v>да</v>
      </c>
      <c r="H188" s="5" t="str">
        <f>"1981"</f>
        <v>1981</v>
      </c>
      <c r="I188" s="5" t="str">
        <f>"15,00"</f>
        <v>15,00</v>
      </c>
      <c r="J188" s="5" t="str">
        <f>"2038"</f>
        <v>2038</v>
      </c>
      <c r="K188" s="5" t="str">
        <f t="shared" si="317"/>
        <v>да</v>
      </c>
      <c r="L188" s="5" t="str">
        <f>"1981"</f>
        <v>1981</v>
      </c>
      <c r="M188" s="5" t="str">
        <f>"15,00"</f>
        <v>15,00</v>
      </c>
      <c r="N188" s="5" t="str">
        <f>"2038"</f>
        <v>2038</v>
      </c>
      <c r="O188" s="8" t="str">
        <f>"1981"</f>
        <v>1981</v>
      </c>
      <c r="P188" s="5" t="str">
        <f>"15,00"</f>
        <v>15,00</v>
      </c>
      <c r="Q188" s="5" t="str">
        <f>"2038"</f>
        <v>2038</v>
      </c>
      <c r="R188" s="5" t="str">
        <f>"нет"</f>
        <v>нет</v>
      </c>
      <c r="S188" s="5" t="str">
        <f t="shared" si="281"/>
        <v>х</v>
      </c>
      <c r="T188" s="5" t="str">
        <f t="shared" si="281"/>
        <v>х</v>
      </c>
      <c r="U188" s="5" t="str">
        <f t="shared" si="281"/>
        <v>х</v>
      </c>
      <c r="V188" s="5" t="str">
        <f>"нет"</f>
        <v>нет</v>
      </c>
      <c r="W188" s="5" t="str">
        <f t="shared" si="282"/>
        <v>х</v>
      </c>
      <c r="X188" s="5" t="str">
        <f t="shared" si="282"/>
        <v>х</v>
      </c>
      <c r="Y188" s="9" t="str">
        <f t="shared" si="282"/>
        <v>х</v>
      </c>
      <c r="Z188" s="5" t="str">
        <f>"1981"</f>
        <v>1981</v>
      </c>
      <c r="AA188" s="5" t="str">
        <f>"15,00"</f>
        <v>15,00</v>
      </c>
      <c r="AB188" s="5" t="str">
        <f>"2038"</f>
        <v>2038</v>
      </c>
      <c r="AC188" s="5" t="str">
        <f t="shared" si="318"/>
        <v>нет</v>
      </c>
      <c r="AD188" s="5" t="str">
        <f>""</f>
        <v/>
      </c>
      <c r="AE188" s="5" t="str">
        <f>""</f>
        <v/>
      </c>
      <c r="AF188" s="5" t="str">
        <f>""</f>
        <v/>
      </c>
      <c r="AG188" s="5" t="str">
        <f t="shared" si="319"/>
        <v>нет</v>
      </c>
      <c r="AH188" s="5" t="str">
        <f>""</f>
        <v/>
      </c>
      <c r="AI188" s="5" t="str">
        <f>""</f>
        <v/>
      </c>
      <c r="AJ188" s="5" t="str">
        <f>""</f>
        <v/>
      </c>
      <c r="AK188" s="8" t="str">
        <f>"1981"</f>
        <v>1981</v>
      </c>
      <c r="AL188" s="5" t="str">
        <f>"10,00"</f>
        <v>10,00</v>
      </c>
      <c r="AM188" s="5" t="str">
        <f>"2038"</f>
        <v>2038</v>
      </c>
      <c r="AN188" s="5" t="str">
        <f>"нет"</f>
        <v>нет</v>
      </c>
      <c r="AO188" s="5" t="str">
        <f t="shared" si="292"/>
        <v>х</v>
      </c>
      <c r="AP188" s="5" t="str">
        <f t="shared" si="283"/>
        <v>х</v>
      </c>
      <c r="AQ188" s="5" t="str">
        <f t="shared" si="293"/>
        <v>х</v>
      </c>
      <c r="AR188" s="5" t="str">
        <f>"нет"</f>
        <v>нет</v>
      </c>
      <c r="AS188" s="5" t="str">
        <f t="shared" si="294"/>
        <v>х</v>
      </c>
      <c r="AT188" s="5" t="str">
        <f t="shared" si="284"/>
        <v>х</v>
      </c>
      <c r="AU188" s="5" t="str">
        <f t="shared" si="295"/>
        <v>х</v>
      </c>
      <c r="AV188" s="5" t="str">
        <f>"1981"</f>
        <v>1981</v>
      </c>
      <c r="AW188" s="5" t="str">
        <f>"10,00"</f>
        <v>10,00</v>
      </c>
      <c r="AX188" s="5" t="str">
        <f>"2038"</f>
        <v>2038</v>
      </c>
      <c r="AY188" s="5" t="str">
        <f>"нет"</f>
        <v>нет</v>
      </c>
      <c r="AZ188" s="5" t="str">
        <f t="shared" si="296"/>
        <v>х</v>
      </c>
      <c r="BA188" s="5" t="str">
        <f t="shared" si="285"/>
        <v>х</v>
      </c>
      <c r="BB188" s="5" t="str">
        <f t="shared" si="297"/>
        <v>х</v>
      </c>
      <c r="BC188" s="5" t="str">
        <f>"нет"</f>
        <v>нет</v>
      </c>
      <c r="BD188" s="5" t="str">
        <f t="shared" si="298"/>
        <v>х</v>
      </c>
      <c r="BE188" s="5" t="str">
        <f t="shared" si="286"/>
        <v>х</v>
      </c>
      <c r="BF188" s="5" t="str">
        <f t="shared" si="299"/>
        <v>х</v>
      </c>
      <c r="BG188" s="5" t="str">
        <f>"1981"</f>
        <v>1981</v>
      </c>
      <c r="BH188" s="5" t="str">
        <f>"10,00"</f>
        <v>10,00</v>
      </c>
      <c r="BI188" s="5" t="str">
        <f>"2038"</f>
        <v>2038</v>
      </c>
      <c r="BJ188" s="5" t="str">
        <f>"нет"</f>
        <v>нет</v>
      </c>
      <c r="BK188" s="5" t="str">
        <f t="shared" si="287"/>
        <v>х</v>
      </c>
      <c r="BL188" s="5" t="str">
        <f t="shared" si="287"/>
        <v>х</v>
      </c>
      <c r="BM188" s="5" t="str">
        <f t="shared" si="287"/>
        <v>х</v>
      </c>
      <c r="BN188" s="5" t="str">
        <f>"нет"</f>
        <v>нет</v>
      </c>
      <c r="BO188" s="5" t="str">
        <f t="shared" si="288"/>
        <v>х</v>
      </c>
      <c r="BP188" s="5" t="str">
        <f t="shared" si="288"/>
        <v>х</v>
      </c>
      <c r="BQ188" s="5" t="str">
        <f t="shared" si="288"/>
        <v>х</v>
      </c>
      <c r="BR188" s="5" t="str">
        <f>"1981"</f>
        <v>1981</v>
      </c>
      <c r="BS188" s="5" t="str">
        <f>"15,00"</f>
        <v>15,00</v>
      </c>
      <c r="BT188" s="5" t="str">
        <f>"2038"</f>
        <v>2038</v>
      </c>
      <c r="BU188" s="5" t="str">
        <f t="shared" si="223"/>
        <v>нет</v>
      </c>
      <c r="BV188" s="5" t="str">
        <f t="shared" si="289"/>
        <v>x</v>
      </c>
      <c r="BW188" s="5" t="str">
        <f t="shared" si="289"/>
        <v>x</v>
      </c>
      <c r="BX188" s="5" t="str">
        <f t="shared" si="289"/>
        <v>x</v>
      </c>
      <c r="BY188" s="5" t="str">
        <f t="shared" si="280"/>
        <v>нет</v>
      </c>
      <c r="BZ188" s="5" t="str">
        <f>"1981"</f>
        <v>1981</v>
      </c>
      <c r="CA188" s="5" t="str">
        <f>"15,00"</f>
        <v>15,00</v>
      </c>
      <c r="CB188" s="5" t="str">
        <f>"2038"</f>
        <v>2038</v>
      </c>
      <c r="CC188" s="5" t="str">
        <f>"1981"</f>
        <v>1981</v>
      </c>
      <c r="CD188" s="5" t="str">
        <f>"10,00"</f>
        <v>10,00</v>
      </c>
      <c r="CE188" s="5" t="str">
        <f>"2038"</f>
        <v>2038</v>
      </c>
      <c r="CF188" s="5" t="str">
        <f>"1981"</f>
        <v>1981</v>
      </c>
      <c r="CG188" s="5" t="str">
        <f>"15,00"</f>
        <v>15,00</v>
      </c>
      <c r="CH188" s="5" t="str">
        <f>"2038"</f>
        <v>2038</v>
      </c>
      <c r="CI188" s="5" t="str">
        <f>"2,00"</f>
        <v>2,00</v>
      </c>
      <c r="CJ188" s="5" t="str">
        <f>"2040"</f>
        <v>2040</v>
      </c>
    </row>
    <row r="189" spans="1:88" ht="11.25" customHeight="1">
      <c r="A189" s="3" t="str">
        <f>"1.176"</f>
        <v>1.176</v>
      </c>
      <c r="B189" s="4" t="str">
        <f>"г. Грязовец, ул. Лесная, д.3"</f>
        <v>г. Грязовец, ул. Лесная, д.3</v>
      </c>
      <c r="C189" s="7" t="str">
        <f>"1986"</f>
        <v>1986</v>
      </c>
      <c r="D189" s="5" t="str">
        <f>"1986"</f>
        <v>1986</v>
      </c>
      <c r="E189" s="5" t="str">
        <f>"45,00"</f>
        <v>45,00</v>
      </c>
      <c r="F189" s="5" t="str">
        <f>"2020"</f>
        <v>2020</v>
      </c>
      <c r="G189" s="5" t="str">
        <f t="shared" si="316"/>
        <v>да</v>
      </c>
      <c r="H189" s="5" t="str">
        <f>"1986"</f>
        <v>1986</v>
      </c>
      <c r="I189" s="5" t="str">
        <f>"45,00"</f>
        <v>45,00</v>
      </c>
      <c r="J189" s="5" t="str">
        <f>"2020"</f>
        <v>2020</v>
      </c>
      <c r="K189" s="5" t="str">
        <f t="shared" si="317"/>
        <v>да</v>
      </c>
      <c r="L189" s="5" t="str">
        <f>"1986"</f>
        <v>1986</v>
      </c>
      <c r="M189" s="5" t="str">
        <f>"45,00"</f>
        <v>45,00</v>
      </c>
      <c r="N189" s="5" t="str">
        <f>"2020"</f>
        <v>2020</v>
      </c>
      <c r="O189" s="8" t="str">
        <f>"х"</f>
        <v>х</v>
      </c>
      <c r="P189" s="5" t="str">
        <f>"х"</f>
        <v>х</v>
      </c>
      <c r="Q189" s="5" t="str">
        <f>"х"</f>
        <v>х</v>
      </c>
      <c r="R189" s="5" t="str">
        <f>"х"</f>
        <v>х</v>
      </c>
      <c r="S189" s="5" t="str">
        <f t="shared" si="281"/>
        <v>х</v>
      </c>
      <c r="T189" s="5" t="str">
        <f t="shared" si="281"/>
        <v>х</v>
      </c>
      <c r="U189" s="5" t="str">
        <f t="shared" si="281"/>
        <v>х</v>
      </c>
      <c r="V189" s="5" t="str">
        <f>"х"</f>
        <v>х</v>
      </c>
      <c r="W189" s="5" t="str">
        <f t="shared" si="282"/>
        <v>х</v>
      </c>
      <c r="X189" s="5" t="str">
        <f t="shared" si="282"/>
        <v>х</v>
      </c>
      <c r="Y189" s="9" t="str">
        <f t="shared" si="282"/>
        <v>х</v>
      </c>
      <c r="Z189" s="5" t="str">
        <f>""</f>
        <v/>
      </c>
      <c r="AA189" s="5" t="str">
        <f>"30,00"</f>
        <v>30,00</v>
      </c>
      <c r="AB189" s="5" t="str">
        <f>"2023"</f>
        <v>2023</v>
      </c>
      <c r="AC189" s="5" t="str">
        <f t="shared" si="318"/>
        <v>нет</v>
      </c>
      <c r="AD189" s="5" t="str">
        <f>""</f>
        <v/>
      </c>
      <c r="AE189" s="5" t="str">
        <f>""</f>
        <v/>
      </c>
      <c r="AF189" s="5" t="str">
        <f>""</f>
        <v/>
      </c>
      <c r="AG189" s="5" t="str">
        <f t="shared" si="319"/>
        <v>нет</v>
      </c>
      <c r="AH189" s="5" t="str">
        <f>""</f>
        <v/>
      </c>
      <c r="AI189" s="5" t="str">
        <f>""</f>
        <v/>
      </c>
      <c r="AJ189" s="5" t="str">
        <f>""</f>
        <v/>
      </c>
      <c r="AK189" s="8" t="str">
        <f t="shared" ref="AK189:AN190" si="320">"х"</f>
        <v>х</v>
      </c>
      <c r="AL189" s="5" t="str">
        <f t="shared" si="320"/>
        <v>х</v>
      </c>
      <c r="AM189" s="5" t="str">
        <f t="shared" si="320"/>
        <v>х</v>
      </c>
      <c r="AN189" s="5" t="str">
        <f t="shared" si="320"/>
        <v>х</v>
      </c>
      <c r="AO189" s="5" t="str">
        <f t="shared" si="292"/>
        <v>х</v>
      </c>
      <c r="AP189" s="5" t="str">
        <f t="shared" si="283"/>
        <v>х</v>
      </c>
      <c r="AQ189" s="5" t="str">
        <f t="shared" si="293"/>
        <v>х</v>
      </c>
      <c r="AR189" s="5" t="str">
        <f>"х"</f>
        <v>х</v>
      </c>
      <c r="AS189" s="5" t="str">
        <f t="shared" si="294"/>
        <v>х</v>
      </c>
      <c r="AT189" s="5" t="str">
        <f t="shared" si="284"/>
        <v>х</v>
      </c>
      <c r="AU189" s="5" t="str">
        <f t="shared" si="295"/>
        <v>х</v>
      </c>
      <c r="AV189" s="5" t="str">
        <f t="shared" ref="AV189:AY190" si="321">"х"</f>
        <v>х</v>
      </c>
      <c r="AW189" s="5" t="str">
        <f t="shared" si="321"/>
        <v>х</v>
      </c>
      <c r="AX189" s="5" t="str">
        <f t="shared" si="321"/>
        <v>х</v>
      </c>
      <c r="AY189" s="5" t="str">
        <f t="shared" si="321"/>
        <v>х</v>
      </c>
      <c r="AZ189" s="5" t="str">
        <f t="shared" si="296"/>
        <v>х</v>
      </c>
      <c r="BA189" s="5" t="str">
        <f t="shared" si="285"/>
        <v>х</v>
      </c>
      <c r="BB189" s="5" t="str">
        <f t="shared" si="297"/>
        <v>х</v>
      </c>
      <c r="BC189" s="5" t="str">
        <f>"х"</f>
        <v>х</v>
      </c>
      <c r="BD189" s="5" t="str">
        <f t="shared" si="298"/>
        <v>х</v>
      </c>
      <c r="BE189" s="5" t="str">
        <f t="shared" si="286"/>
        <v>х</v>
      </c>
      <c r="BF189" s="5" t="str">
        <f t="shared" si="299"/>
        <v>х</v>
      </c>
      <c r="BG189" s="5" t="str">
        <f t="shared" ref="BG189:BJ190" si="322">"х"</f>
        <v>х</v>
      </c>
      <c r="BH189" s="5" t="str">
        <f t="shared" si="322"/>
        <v>х</v>
      </c>
      <c r="BI189" s="5" t="str">
        <f t="shared" si="322"/>
        <v>х</v>
      </c>
      <c r="BJ189" s="5" t="str">
        <f t="shared" si="322"/>
        <v>х</v>
      </c>
      <c r="BK189" s="5" t="str">
        <f t="shared" si="287"/>
        <v>х</v>
      </c>
      <c r="BL189" s="5" t="str">
        <f t="shared" si="287"/>
        <v>х</v>
      </c>
      <c r="BM189" s="5" t="str">
        <f t="shared" si="287"/>
        <v>х</v>
      </c>
      <c r="BN189" s="5" t="str">
        <f>"х"</f>
        <v>х</v>
      </c>
      <c r="BO189" s="5" t="str">
        <f t="shared" si="288"/>
        <v>х</v>
      </c>
      <c r="BP189" s="5" t="str">
        <f t="shared" si="288"/>
        <v>х</v>
      </c>
      <c r="BQ189" s="5" t="str">
        <f t="shared" si="288"/>
        <v>х</v>
      </c>
      <c r="BR189" s="5" t="str">
        <f>"1986"</f>
        <v>1986</v>
      </c>
      <c r="BS189" s="5" t="str">
        <f>"50,00"</f>
        <v>50,00</v>
      </c>
      <c r="BT189" s="5" t="str">
        <f>"2021"</f>
        <v>2021</v>
      </c>
      <c r="BU189" s="5" t="str">
        <f t="shared" si="223"/>
        <v>нет</v>
      </c>
      <c r="BV189" s="5" t="str">
        <f t="shared" si="289"/>
        <v>x</v>
      </c>
      <c r="BW189" s="5" t="str">
        <f t="shared" si="289"/>
        <v>x</v>
      </c>
      <c r="BX189" s="5" t="str">
        <f t="shared" si="289"/>
        <v>x</v>
      </c>
      <c r="BY189" s="5" t="str">
        <f t="shared" si="280"/>
        <v>нет</v>
      </c>
      <c r="BZ189" s="5" t="str">
        <f t="shared" ref="BZ189:CB196" si="323">"x"</f>
        <v>x</v>
      </c>
      <c r="CA189" s="5" t="str">
        <f t="shared" si="323"/>
        <v>x</v>
      </c>
      <c r="CB189" s="5" t="str">
        <f t="shared" si="323"/>
        <v>x</v>
      </c>
      <c r="CC189" s="5" t="str">
        <f>"1986"</f>
        <v>1986</v>
      </c>
      <c r="CD189" s="5" t="str">
        <f>"40,00"</f>
        <v>40,00</v>
      </c>
      <c r="CE189" s="5" t="str">
        <f>"2021"</f>
        <v>2021</v>
      </c>
      <c r="CF189" s="5" t="str">
        <f>"1986"</f>
        <v>1986</v>
      </c>
      <c r="CG189" s="5" t="str">
        <f>"50,00"</f>
        <v>50,00</v>
      </c>
      <c r="CH189" s="5" t="str">
        <f>"2021"</f>
        <v>2021</v>
      </c>
      <c r="CI189" s="5" t="str">
        <f>"40,00"</f>
        <v>40,00</v>
      </c>
      <c r="CJ189" s="5" t="str">
        <f>"2023"</f>
        <v>2023</v>
      </c>
    </row>
    <row r="190" spans="1:88" ht="11.25" customHeight="1">
      <c r="A190" s="3" t="str">
        <f>"1.177"</f>
        <v>1.177</v>
      </c>
      <c r="B190" s="4" t="str">
        <f>"г. Грязовец, ул. Лесная, д.9"</f>
        <v>г. Грязовец, ул. Лесная, д.9</v>
      </c>
      <c r="C190" s="7" t="str">
        <f>"1954"</f>
        <v>1954</v>
      </c>
      <c r="D190" s="5" t="str">
        <f>"1954"</f>
        <v>1954</v>
      </c>
      <c r="E190" s="5" t="str">
        <f>"50,00"</f>
        <v>50,00</v>
      </c>
      <c r="F190" s="5" t="str">
        <f>"2021"</f>
        <v>2021</v>
      </c>
      <c r="G190" s="5" t="str">
        <f t="shared" si="316"/>
        <v>да</v>
      </c>
      <c r="H190" s="5" t="str">
        <f>""</f>
        <v/>
      </c>
      <c r="I190" s="5" t="str">
        <f>"50,00"</f>
        <v>50,00</v>
      </c>
      <c r="J190" s="5" t="str">
        <f>"2021"</f>
        <v>2021</v>
      </c>
      <c r="K190" s="5" t="str">
        <f t="shared" si="317"/>
        <v>да</v>
      </c>
      <c r="L190" s="5" t="str">
        <f>""</f>
        <v/>
      </c>
      <c r="M190" s="5" t="str">
        <f>"50,00"</f>
        <v>50,00</v>
      </c>
      <c r="N190" s="5" t="str">
        <f>"2021"</f>
        <v>2021</v>
      </c>
      <c r="O190" s="8" t="str">
        <f>"х"</f>
        <v>х</v>
      </c>
      <c r="P190" s="5" t="str">
        <f>"х"</f>
        <v>х</v>
      </c>
      <c r="Q190" s="5" t="str">
        <f>"х"</f>
        <v>х</v>
      </c>
      <c r="R190" s="5" t="str">
        <f t="shared" ref="R190:R200" si="324">"нет"</f>
        <v>нет</v>
      </c>
      <c r="S190" s="5" t="str">
        <f t="shared" si="281"/>
        <v>х</v>
      </c>
      <c r="T190" s="5" t="str">
        <f t="shared" si="281"/>
        <v>х</v>
      </c>
      <c r="U190" s="5" t="str">
        <f t="shared" si="281"/>
        <v>х</v>
      </c>
      <c r="V190" s="5" t="str">
        <f t="shared" ref="V190:V200" si="325">"нет"</f>
        <v>нет</v>
      </c>
      <c r="W190" s="5" t="str">
        <f t="shared" si="282"/>
        <v>х</v>
      </c>
      <c r="X190" s="5" t="str">
        <f t="shared" si="282"/>
        <v>х</v>
      </c>
      <c r="Y190" s="9" t="str">
        <f t="shared" si="282"/>
        <v>х</v>
      </c>
      <c r="Z190" s="5" t="str">
        <f>""</f>
        <v/>
      </c>
      <c r="AA190" s="5" t="str">
        <f>"30,00"</f>
        <v>30,00</v>
      </c>
      <c r="AB190" s="5" t="str">
        <f>"2023"</f>
        <v>2023</v>
      </c>
      <c r="AC190" s="5" t="str">
        <f t="shared" si="318"/>
        <v>нет</v>
      </c>
      <c r="AD190" s="5" t="str">
        <f>""</f>
        <v/>
      </c>
      <c r="AE190" s="5" t="str">
        <f>""</f>
        <v/>
      </c>
      <c r="AF190" s="5" t="str">
        <f>""</f>
        <v/>
      </c>
      <c r="AG190" s="5" t="str">
        <f t="shared" si="319"/>
        <v>нет</v>
      </c>
      <c r="AH190" s="5" t="str">
        <f>""</f>
        <v/>
      </c>
      <c r="AI190" s="5" t="str">
        <f>""</f>
        <v/>
      </c>
      <c r="AJ190" s="5" t="str">
        <f>""</f>
        <v/>
      </c>
      <c r="AK190" s="8" t="str">
        <f t="shared" si="320"/>
        <v>х</v>
      </c>
      <c r="AL190" s="5" t="str">
        <f t="shared" si="320"/>
        <v>х</v>
      </c>
      <c r="AM190" s="5" t="str">
        <f t="shared" si="320"/>
        <v>х</v>
      </c>
      <c r="AN190" s="5" t="str">
        <f t="shared" si="320"/>
        <v>х</v>
      </c>
      <c r="AO190" s="5" t="str">
        <f t="shared" si="292"/>
        <v>х</v>
      </c>
      <c r="AP190" s="5" t="str">
        <f t="shared" si="283"/>
        <v>х</v>
      </c>
      <c r="AQ190" s="5" t="str">
        <f t="shared" si="293"/>
        <v>х</v>
      </c>
      <c r="AR190" s="5" t="str">
        <f>"х"</f>
        <v>х</v>
      </c>
      <c r="AS190" s="5" t="str">
        <f t="shared" si="294"/>
        <v>х</v>
      </c>
      <c r="AT190" s="5" t="str">
        <f t="shared" si="284"/>
        <v>х</v>
      </c>
      <c r="AU190" s="5" t="str">
        <f t="shared" si="295"/>
        <v>х</v>
      </c>
      <c r="AV190" s="5" t="str">
        <f t="shared" si="321"/>
        <v>х</v>
      </c>
      <c r="AW190" s="5" t="str">
        <f t="shared" si="321"/>
        <v>х</v>
      </c>
      <c r="AX190" s="5" t="str">
        <f t="shared" si="321"/>
        <v>х</v>
      </c>
      <c r="AY190" s="5" t="str">
        <f t="shared" si="321"/>
        <v>х</v>
      </c>
      <c r="AZ190" s="5" t="str">
        <f t="shared" si="296"/>
        <v>х</v>
      </c>
      <c r="BA190" s="5" t="str">
        <f t="shared" si="285"/>
        <v>х</v>
      </c>
      <c r="BB190" s="5" t="str">
        <f t="shared" si="297"/>
        <v>х</v>
      </c>
      <c r="BC190" s="5" t="str">
        <f>"х"</f>
        <v>х</v>
      </c>
      <c r="BD190" s="5" t="str">
        <f t="shared" si="298"/>
        <v>х</v>
      </c>
      <c r="BE190" s="5" t="str">
        <f t="shared" si="286"/>
        <v>х</v>
      </c>
      <c r="BF190" s="5" t="str">
        <f t="shared" si="299"/>
        <v>х</v>
      </c>
      <c r="BG190" s="5" t="str">
        <f t="shared" si="322"/>
        <v>х</v>
      </c>
      <c r="BH190" s="5" t="str">
        <f t="shared" si="322"/>
        <v>х</v>
      </c>
      <c r="BI190" s="5" t="str">
        <f t="shared" si="322"/>
        <v>х</v>
      </c>
      <c r="BJ190" s="5" t="str">
        <f t="shared" si="322"/>
        <v>х</v>
      </c>
      <c r="BK190" s="5" t="str">
        <f t="shared" si="287"/>
        <v>х</v>
      </c>
      <c r="BL190" s="5" t="str">
        <f t="shared" si="287"/>
        <v>х</v>
      </c>
      <c r="BM190" s="5" t="str">
        <f t="shared" si="287"/>
        <v>х</v>
      </c>
      <c r="BN190" s="5" t="str">
        <f>"х"</f>
        <v>х</v>
      </c>
      <c r="BO190" s="5" t="str">
        <f t="shared" si="288"/>
        <v>х</v>
      </c>
      <c r="BP190" s="5" t="str">
        <f t="shared" si="288"/>
        <v>х</v>
      </c>
      <c r="BQ190" s="5" t="str">
        <f t="shared" si="288"/>
        <v>х</v>
      </c>
      <c r="BR190" s="5" t="str">
        <f>"1954"</f>
        <v>1954</v>
      </c>
      <c r="BS190" s="5" t="str">
        <f>"50,00"</f>
        <v>50,00</v>
      </c>
      <c r="BT190" s="5" t="str">
        <f>"2021"</f>
        <v>2021</v>
      </c>
      <c r="BU190" s="5" t="str">
        <f t="shared" si="223"/>
        <v>нет</v>
      </c>
      <c r="BV190" s="5" t="str">
        <f t="shared" si="289"/>
        <v>x</v>
      </c>
      <c r="BW190" s="5" t="str">
        <f t="shared" si="289"/>
        <v>x</v>
      </c>
      <c r="BX190" s="5" t="str">
        <f t="shared" si="289"/>
        <v>x</v>
      </c>
      <c r="BY190" s="5" t="str">
        <f t="shared" si="280"/>
        <v>нет</v>
      </c>
      <c r="BZ190" s="5" t="str">
        <f t="shared" si="323"/>
        <v>x</v>
      </c>
      <c r="CA190" s="5" t="str">
        <f t="shared" si="323"/>
        <v>x</v>
      </c>
      <c r="CB190" s="5" t="str">
        <f t="shared" si="323"/>
        <v>x</v>
      </c>
      <c r="CC190" s="5" t="str">
        <f>"1954"</f>
        <v>1954</v>
      </c>
      <c r="CD190" s="5" t="str">
        <f>"42,00"</f>
        <v>42,00</v>
      </c>
      <c r="CE190" s="5" t="str">
        <f>"2021"</f>
        <v>2021</v>
      </c>
      <c r="CF190" s="5" t="str">
        <f>"1954"</f>
        <v>1954</v>
      </c>
      <c r="CG190" s="5" t="str">
        <f>"50,00"</f>
        <v>50,00</v>
      </c>
      <c r="CH190" s="5" t="str">
        <f>"2021"</f>
        <v>2021</v>
      </c>
      <c r="CI190" s="5" t="str">
        <f>"46,00"</f>
        <v>46,00</v>
      </c>
      <c r="CJ190" s="5" t="str">
        <f>"2023"</f>
        <v>2023</v>
      </c>
    </row>
    <row r="191" spans="1:88" ht="11.25" customHeight="1">
      <c r="A191" s="3" t="str">
        <f>"1.178"</f>
        <v>1.178</v>
      </c>
      <c r="B191" s="4" t="str">
        <f>"г. Грязовец, ул. Маяковского, д.13"</f>
        <v>г. Грязовец, ул. Маяковского, д.13</v>
      </c>
      <c r="C191" s="7" t="str">
        <f>"1978"</f>
        <v>1978</v>
      </c>
      <c r="D191" s="5" t="str">
        <f>"1978"</f>
        <v>1978</v>
      </c>
      <c r="E191" s="5" t="str">
        <f>"30,00"</f>
        <v>30,00</v>
      </c>
      <c r="F191" s="5" t="str">
        <f>"2034"</f>
        <v>2034</v>
      </c>
      <c r="G191" s="5" t="str">
        <f t="shared" si="316"/>
        <v>да</v>
      </c>
      <c r="H191" s="5" t="str">
        <f>""</f>
        <v/>
      </c>
      <c r="I191" s="5" t="str">
        <f>"30,00"</f>
        <v>30,00</v>
      </c>
      <c r="J191" s="5" t="str">
        <f>"2034"</f>
        <v>2034</v>
      </c>
      <c r="K191" s="5" t="str">
        <f t="shared" si="317"/>
        <v>да</v>
      </c>
      <c r="L191" s="5" t="str">
        <f>""</f>
        <v/>
      </c>
      <c r="M191" s="5" t="str">
        <f>"30,00"</f>
        <v>30,00</v>
      </c>
      <c r="N191" s="5" t="str">
        <f>"2034"</f>
        <v>2034</v>
      </c>
      <c r="O191" s="8" t="str">
        <f>"1978"</f>
        <v>1978</v>
      </c>
      <c r="P191" s="5" t="str">
        <f>"30,00"</f>
        <v>30,00</v>
      </c>
      <c r="Q191" s="5" t="str">
        <f>"2030"</f>
        <v>2030</v>
      </c>
      <c r="R191" s="5" t="str">
        <f t="shared" si="324"/>
        <v>нет</v>
      </c>
      <c r="S191" s="5" t="str">
        <f t="shared" si="281"/>
        <v>х</v>
      </c>
      <c r="T191" s="5" t="str">
        <f t="shared" si="281"/>
        <v>х</v>
      </c>
      <c r="U191" s="5" t="str">
        <f t="shared" si="281"/>
        <v>х</v>
      </c>
      <c r="V191" s="5" t="str">
        <f t="shared" si="325"/>
        <v>нет</v>
      </c>
      <c r="W191" s="5" t="str">
        <f t="shared" si="282"/>
        <v>х</v>
      </c>
      <c r="X191" s="5" t="str">
        <f t="shared" si="282"/>
        <v>х</v>
      </c>
      <c r="Y191" s="9" t="str">
        <f t="shared" si="282"/>
        <v>х</v>
      </c>
      <c r="Z191" s="5" t="str">
        <f>"1987"</f>
        <v>1987</v>
      </c>
      <c r="AA191" s="5" t="str">
        <f>"30,00"</f>
        <v>30,00</v>
      </c>
      <c r="AB191" s="5" t="str">
        <f>"2030"</f>
        <v>2030</v>
      </c>
      <c r="AC191" s="5" t="str">
        <f t="shared" si="318"/>
        <v>нет</v>
      </c>
      <c r="AD191" s="5" t="str">
        <f>""</f>
        <v/>
      </c>
      <c r="AE191" s="5" t="str">
        <f>""</f>
        <v/>
      </c>
      <c r="AF191" s="5" t="str">
        <f>""</f>
        <v/>
      </c>
      <c r="AG191" s="5" t="str">
        <f t="shared" si="319"/>
        <v>нет</v>
      </c>
      <c r="AH191" s="5" t="str">
        <f>""</f>
        <v/>
      </c>
      <c r="AI191" s="5" t="str">
        <f>""</f>
        <v/>
      </c>
      <c r="AJ191" s="5" t="str">
        <f>""</f>
        <v/>
      </c>
      <c r="AK191" s="8" t="str">
        <f>"1987"</f>
        <v>1987</v>
      </c>
      <c r="AL191" s="5" t="str">
        <f>"30,00"</f>
        <v>30,00</v>
      </c>
      <c r="AM191" s="5" t="str">
        <f>"2030"</f>
        <v>2030</v>
      </c>
      <c r="AN191" s="5" t="str">
        <f t="shared" ref="AN191:AN200" si="326">"нет"</f>
        <v>нет</v>
      </c>
      <c r="AO191" s="5" t="str">
        <f t="shared" si="292"/>
        <v>х</v>
      </c>
      <c r="AP191" s="5" t="str">
        <f t="shared" si="283"/>
        <v>х</v>
      </c>
      <c r="AQ191" s="5" t="str">
        <f t="shared" si="293"/>
        <v>х</v>
      </c>
      <c r="AR191" s="5" t="str">
        <f t="shared" ref="AR191:AR200" si="327">"нет"</f>
        <v>нет</v>
      </c>
      <c r="AS191" s="5" t="str">
        <f t="shared" si="294"/>
        <v>х</v>
      </c>
      <c r="AT191" s="5" t="str">
        <f t="shared" si="284"/>
        <v>х</v>
      </c>
      <c r="AU191" s="5" t="str">
        <f t="shared" si="295"/>
        <v>х</v>
      </c>
      <c r="AV191" s="5" t="str">
        <f>"1987"</f>
        <v>1987</v>
      </c>
      <c r="AW191" s="5" t="str">
        <f>"30,00"</f>
        <v>30,00</v>
      </c>
      <c r="AX191" s="5" t="str">
        <f>"2030"</f>
        <v>2030</v>
      </c>
      <c r="AY191" s="5" t="str">
        <f t="shared" ref="AY191:AY198" si="328">"нет"</f>
        <v>нет</v>
      </c>
      <c r="AZ191" s="5" t="str">
        <f t="shared" si="296"/>
        <v>х</v>
      </c>
      <c r="BA191" s="5" t="str">
        <f t="shared" si="285"/>
        <v>х</v>
      </c>
      <c r="BB191" s="5" t="str">
        <f t="shared" si="297"/>
        <v>х</v>
      </c>
      <c r="BC191" s="5" t="str">
        <f t="shared" ref="BC191:BC198" si="329">"нет"</f>
        <v>нет</v>
      </c>
      <c r="BD191" s="5" t="str">
        <f t="shared" si="298"/>
        <v>х</v>
      </c>
      <c r="BE191" s="5" t="str">
        <f t="shared" si="286"/>
        <v>х</v>
      </c>
      <c r="BF191" s="5" t="str">
        <f t="shared" si="299"/>
        <v>х</v>
      </c>
      <c r="BG191" s="5" t="str">
        <f>"1987"</f>
        <v>1987</v>
      </c>
      <c r="BH191" s="5" t="str">
        <f>"35,00"</f>
        <v>35,00</v>
      </c>
      <c r="BI191" s="5" t="str">
        <f>"2030"</f>
        <v>2030</v>
      </c>
      <c r="BJ191" s="5" t="str">
        <f t="shared" ref="BJ191:BJ200" si="330">"нет"</f>
        <v>нет</v>
      </c>
      <c r="BK191" s="5" t="str">
        <f t="shared" si="287"/>
        <v>х</v>
      </c>
      <c r="BL191" s="5" t="str">
        <f t="shared" si="287"/>
        <v>х</v>
      </c>
      <c r="BM191" s="5" t="str">
        <f t="shared" si="287"/>
        <v>х</v>
      </c>
      <c r="BN191" s="5" t="str">
        <f t="shared" ref="BN191:BN200" si="331">"нет"</f>
        <v>нет</v>
      </c>
      <c r="BO191" s="5" t="str">
        <f t="shared" si="288"/>
        <v>х</v>
      </c>
      <c r="BP191" s="5" t="str">
        <f t="shared" si="288"/>
        <v>х</v>
      </c>
      <c r="BQ191" s="5" t="str">
        <f t="shared" si="288"/>
        <v>х</v>
      </c>
      <c r="BR191" s="5" t="str">
        <f>"1987"</f>
        <v>1987</v>
      </c>
      <c r="BS191" s="5" t="str">
        <f>"40,00"</f>
        <v>40,00</v>
      </c>
      <c r="BT191" s="5" t="str">
        <f>"2026"</f>
        <v>2026</v>
      </c>
      <c r="BU191" s="5" t="str">
        <f t="shared" si="223"/>
        <v>нет</v>
      </c>
      <c r="BV191" s="5" t="str">
        <f t="shared" si="289"/>
        <v>x</v>
      </c>
      <c r="BW191" s="5" t="str">
        <f t="shared" si="289"/>
        <v>x</v>
      </c>
      <c r="BX191" s="5" t="str">
        <f t="shared" si="289"/>
        <v>x</v>
      </c>
      <c r="BY191" s="5" t="str">
        <f t="shared" si="280"/>
        <v>нет</v>
      </c>
      <c r="BZ191" s="5" t="str">
        <f t="shared" si="323"/>
        <v>x</v>
      </c>
      <c r="CA191" s="5" t="str">
        <f t="shared" si="323"/>
        <v>x</v>
      </c>
      <c r="CB191" s="5" t="str">
        <f t="shared" si="323"/>
        <v>x</v>
      </c>
      <c r="CC191" s="5" t="str">
        <f>"1987"</f>
        <v>1987</v>
      </c>
      <c r="CD191" s="5" t="str">
        <f>"35,00"</f>
        <v>35,00</v>
      </c>
      <c r="CE191" s="5" t="str">
        <f>"2026"</f>
        <v>2026</v>
      </c>
      <c r="CF191" s="5" t="str">
        <f>"1987"</f>
        <v>1987</v>
      </c>
      <c r="CG191" s="5" t="str">
        <f>"40,00"</f>
        <v>40,00</v>
      </c>
      <c r="CH191" s="5" t="str">
        <f>"2025"</f>
        <v>2025</v>
      </c>
      <c r="CI191" s="5" t="str">
        <f>"20,00"</f>
        <v>20,00</v>
      </c>
      <c r="CJ191" s="5" t="str">
        <f>"2035"</f>
        <v>2035</v>
      </c>
    </row>
    <row r="192" spans="1:88" ht="11.25" customHeight="1">
      <c r="A192" s="3" t="str">
        <f>"1.179"</f>
        <v>1.179</v>
      </c>
      <c r="B192" s="4" t="str">
        <f>"г. Грязовец, ул. Маяковского, д.13А"</f>
        <v>г. Грязовец, ул. Маяковского, д.13А</v>
      </c>
      <c r="C192" s="7" t="str">
        <f>"1978"</f>
        <v>1978</v>
      </c>
      <c r="D192" s="5" t="str">
        <f>"1978"</f>
        <v>1978</v>
      </c>
      <c r="E192" s="5" t="str">
        <f>"40,00"</f>
        <v>40,00</v>
      </c>
      <c r="F192" s="5" t="str">
        <f>"2023"</f>
        <v>2023</v>
      </c>
      <c r="G192" s="5" t="str">
        <f t="shared" si="316"/>
        <v>да</v>
      </c>
      <c r="H192" s="5" t="str">
        <f>""</f>
        <v/>
      </c>
      <c r="I192" s="5" t="str">
        <f>"30,00"</f>
        <v>30,00</v>
      </c>
      <c r="J192" s="5" t="str">
        <f>"2025"</f>
        <v>2025</v>
      </c>
      <c r="K192" s="5" t="str">
        <f t="shared" si="317"/>
        <v>да</v>
      </c>
      <c r="L192" s="5" t="str">
        <f>""</f>
        <v/>
      </c>
      <c r="M192" s="5" t="str">
        <f>"30,00"</f>
        <v>30,00</v>
      </c>
      <c r="N192" s="5" t="str">
        <f>"2025"</f>
        <v>2025</v>
      </c>
      <c r="O192" s="8" t="str">
        <f>"1978"</f>
        <v>1978</v>
      </c>
      <c r="P192" s="5" t="str">
        <f>"45,00"</f>
        <v>45,00</v>
      </c>
      <c r="Q192" s="5" t="str">
        <f>"2022"</f>
        <v>2022</v>
      </c>
      <c r="R192" s="5" t="str">
        <f t="shared" si="324"/>
        <v>нет</v>
      </c>
      <c r="S192" s="5" t="str">
        <f t="shared" si="281"/>
        <v>х</v>
      </c>
      <c r="T192" s="5" t="str">
        <f t="shared" si="281"/>
        <v>х</v>
      </c>
      <c r="U192" s="5" t="str">
        <f t="shared" si="281"/>
        <v>х</v>
      </c>
      <c r="V192" s="5" t="str">
        <f t="shared" si="325"/>
        <v>нет</v>
      </c>
      <c r="W192" s="5" t="str">
        <f t="shared" si="282"/>
        <v>х</v>
      </c>
      <c r="X192" s="5" t="str">
        <f t="shared" si="282"/>
        <v>х</v>
      </c>
      <c r="Y192" s="9" t="str">
        <f t="shared" si="282"/>
        <v>х</v>
      </c>
      <c r="Z192" s="5" t="str">
        <f>"1978"</f>
        <v>1978</v>
      </c>
      <c r="AA192" s="5" t="str">
        <f>"45,00"</f>
        <v>45,00</v>
      </c>
      <c r="AB192" s="5" t="str">
        <f>"2022"</f>
        <v>2022</v>
      </c>
      <c r="AC192" s="5" t="str">
        <f t="shared" si="318"/>
        <v>нет</v>
      </c>
      <c r="AD192" s="5" t="str">
        <f>""</f>
        <v/>
      </c>
      <c r="AE192" s="5" t="str">
        <f>""</f>
        <v/>
      </c>
      <c r="AF192" s="5" t="str">
        <f>""</f>
        <v/>
      </c>
      <c r="AG192" s="5" t="str">
        <f t="shared" si="319"/>
        <v>нет</v>
      </c>
      <c r="AH192" s="5" t="str">
        <f>""</f>
        <v/>
      </c>
      <c r="AI192" s="5" t="str">
        <f>""</f>
        <v/>
      </c>
      <c r="AJ192" s="5" t="str">
        <f>""</f>
        <v/>
      </c>
      <c r="AK192" s="8" t="str">
        <f>"1978"</f>
        <v>1978</v>
      </c>
      <c r="AL192" s="5" t="str">
        <f>"45,00"</f>
        <v>45,00</v>
      </c>
      <c r="AM192" s="5" t="str">
        <f>"2022"</f>
        <v>2022</v>
      </c>
      <c r="AN192" s="5" t="str">
        <f t="shared" si="326"/>
        <v>нет</v>
      </c>
      <c r="AO192" s="5" t="str">
        <f t="shared" si="292"/>
        <v>х</v>
      </c>
      <c r="AP192" s="5" t="str">
        <f t="shared" si="283"/>
        <v>х</v>
      </c>
      <c r="AQ192" s="5" t="str">
        <f t="shared" si="293"/>
        <v>х</v>
      </c>
      <c r="AR192" s="5" t="str">
        <f t="shared" si="327"/>
        <v>нет</v>
      </c>
      <c r="AS192" s="5" t="str">
        <f t="shared" si="294"/>
        <v>х</v>
      </c>
      <c r="AT192" s="5" t="str">
        <f t="shared" si="284"/>
        <v>х</v>
      </c>
      <c r="AU192" s="5" t="str">
        <f t="shared" si="295"/>
        <v>х</v>
      </c>
      <c r="AV192" s="5" t="str">
        <f>"1987"</f>
        <v>1987</v>
      </c>
      <c r="AW192" s="5" t="str">
        <f>"45,00"</f>
        <v>45,00</v>
      </c>
      <c r="AX192" s="5" t="str">
        <f>"2022"</f>
        <v>2022</v>
      </c>
      <c r="AY192" s="5" t="str">
        <f t="shared" si="328"/>
        <v>нет</v>
      </c>
      <c r="AZ192" s="5" t="str">
        <f t="shared" si="296"/>
        <v>х</v>
      </c>
      <c r="BA192" s="5" t="str">
        <f t="shared" si="285"/>
        <v>х</v>
      </c>
      <c r="BB192" s="5" t="str">
        <f t="shared" si="297"/>
        <v>х</v>
      </c>
      <c r="BC192" s="5" t="str">
        <f t="shared" si="329"/>
        <v>нет</v>
      </c>
      <c r="BD192" s="5" t="str">
        <f t="shared" si="298"/>
        <v>х</v>
      </c>
      <c r="BE192" s="5" t="str">
        <f t="shared" si="286"/>
        <v>х</v>
      </c>
      <c r="BF192" s="5" t="str">
        <f t="shared" si="299"/>
        <v>х</v>
      </c>
      <c r="BG192" s="5" t="str">
        <f>"1987"</f>
        <v>1987</v>
      </c>
      <c r="BH192" s="5" t="str">
        <f>"50,00"</f>
        <v>50,00</v>
      </c>
      <c r="BI192" s="5" t="str">
        <f>"2020"</f>
        <v>2020</v>
      </c>
      <c r="BJ192" s="5" t="str">
        <f t="shared" si="330"/>
        <v>нет</v>
      </c>
      <c r="BK192" s="5" t="str">
        <f t="shared" si="287"/>
        <v>х</v>
      </c>
      <c r="BL192" s="5" t="str">
        <f t="shared" si="287"/>
        <v>х</v>
      </c>
      <c r="BM192" s="5" t="str">
        <f t="shared" si="287"/>
        <v>х</v>
      </c>
      <c r="BN192" s="5" t="str">
        <f t="shared" si="331"/>
        <v>нет</v>
      </c>
      <c r="BO192" s="5" t="str">
        <f t="shared" si="288"/>
        <v>х</v>
      </c>
      <c r="BP192" s="5" t="str">
        <f t="shared" si="288"/>
        <v>х</v>
      </c>
      <c r="BQ192" s="5" t="str">
        <f t="shared" si="288"/>
        <v>х</v>
      </c>
      <c r="BR192" s="5" t="str">
        <f>"1987"</f>
        <v>1987</v>
      </c>
      <c r="BS192" s="5" t="str">
        <f>"50,00"</f>
        <v>50,00</v>
      </c>
      <c r="BT192" s="5" t="str">
        <f>"2020"</f>
        <v>2020</v>
      </c>
      <c r="BU192" s="5" t="str">
        <f t="shared" si="223"/>
        <v>нет</v>
      </c>
      <c r="BV192" s="5" t="str">
        <f t="shared" si="289"/>
        <v>x</v>
      </c>
      <c r="BW192" s="5" t="str">
        <f t="shared" si="289"/>
        <v>x</v>
      </c>
      <c r="BX192" s="5" t="str">
        <f t="shared" si="289"/>
        <v>x</v>
      </c>
      <c r="BY192" s="5" t="str">
        <f t="shared" si="280"/>
        <v>нет</v>
      </c>
      <c r="BZ192" s="5" t="str">
        <f t="shared" si="323"/>
        <v>x</v>
      </c>
      <c r="CA192" s="5" t="str">
        <f t="shared" si="323"/>
        <v>x</v>
      </c>
      <c r="CB192" s="5" t="str">
        <f t="shared" si="323"/>
        <v>x</v>
      </c>
      <c r="CC192" s="5" t="str">
        <f>"1987"</f>
        <v>1987</v>
      </c>
      <c r="CD192" s="5" t="str">
        <f>"40,00"</f>
        <v>40,00</v>
      </c>
      <c r="CE192" s="5" t="str">
        <f>"2023"</f>
        <v>2023</v>
      </c>
      <c r="CF192" s="5" t="str">
        <f>"1987"</f>
        <v>1987</v>
      </c>
      <c r="CG192" s="5" t="str">
        <f>"60,00"</f>
        <v>60,00</v>
      </c>
      <c r="CH192" s="5" t="str">
        <f>"2020"</f>
        <v>2020</v>
      </c>
      <c r="CI192" s="5" t="str">
        <f>"34,00"</f>
        <v>34,00</v>
      </c>
      <c r="CJ192" s="5" t="str">
        <f>"2028"</f>
        <v>2028</v>
      </c>
    </row>
    <row r="193" spans="1:88" ht="11.25" customHeight="1">
      <c r="A193" s="3" t="str">
        <f>"1.180"</f>
        <v>1.180</v>
      </c>
      <c r="B193" s="4" t="str">
        <f>"г. Грязовец, ул. Мира, д.13"</f>
        <v>г. Грязовец, ул. Мира, д.13</v>
      </c>
      <c r="C193" s="7" t="str">
        <f>"1955"</f>
        <v>1955</v>
      </c>
      <c r="D193" s="5" t="str">
        <f>"1955"</f>
        <v>1955</v>
      </c>
      <c r="E193" s="5" t="str">
        <f>"40,00"</f>
        <v>40,00</v>
      </c>
      <c r="F193" s="5" t="str">
        <f>"2024"</f>
        <v>2024</v>
      </c>
      <c r="G193" s="5" t="str">
        <f t="shared" si="316"/>
        <v>да</v>
      </c>
      <c r="H193" s="5" t="str">
        <f>""</f>
        <v/>
      </c>
      <c r="I193" s="5" t="str">
        <f>"40,00"</f>
        <v>40,00</v>
      </c>
      <c r="J193" s="5" t="str">
        <f>"2024"</f>
        <v>2024</v>
      </c>
      <c r="K193" s="5" t="str">
        <f t="shared" si="317"/>
        <v>да</v>
      </c>
      <c r="L193" s="5" t="str">
        <f>""</f>
        <v/>
      </c>
      <c r="M193" s="5" t="str">
        <f>"40,00"</f>
        <v>40,00</v>
      </c>
      <c r="N193" s="5" t="str">
        <f>"2024"</f>
        <v>2024</v>
      </c>
      <c r="O193" s="8" t="str">
        <f>"1955"</f>
        <v>1955</v>
      </c>
      <c r="P193" s="5" t="str">
        <f>"40,00"</f>
        <v>40,00</v>
      </c>
      <c r="Q193" s="5" t="str">
        <f>"2023"</f>
        <v>2023</v>
      </c>
      <c r="R193" s="5" t="str">
        <f t="shared" si="324"/>
        <v>нет</v>
      </c>
      <c r="S193" s="5" t="str">
        <f t="shared" si="281"/>
        <v>х</v>
      </c>
      <c r="T193" s="5" t="str">
        <f t="shared" si="281"/>
        <v>х</v>
      </c>
      <c r="U193" s="5" t="str">
        <f t="shared" si="281"/>
        <v>х</v>
      </c>
      <c r="V193" s="5" t="str">
        <f t="shared" si="325"/>
        <v>нет</v>
      </c>
      <c r="W193" s="5" t="str">
        <f t="shared" si="282"/>
        <v>х</v>
      </c>
      <c r="X193" s="5" t="str">
        <f t="shared" si="282"/>
        <v>х</v>
      </c>
      <c r="Y193" s="9" t="str">
        <f t="shared" si="282"/>
        <v>х</v>
      </c>
      <c r="Z193" s="5" t="str">
        <f>"1955"</f>
        <v>1955</v>
      </c>
      <c r="AA193" s="5" t="str">
        <f>"35,00"</f>
        <v>35,00</v>
      </c>
      <c r="AB193" s="5" t="str">
        <f>"2023"</f>
        <v>2023</v>
      </c>
      <c r="AC193" s="5" t="str">
        <f t="shared" si="318"/>
        <v>нет</v>
      </c>
      <c r="AD193" s="5" t="str">
        <f>""</f>
        <v/>
      </c>
      <c r="AE193" s="5" t="str">
        <f>""</f>
        <v/>
      </c>
      <c r="AF193" s="5" t="str">
        <f>""</f>
        <v/>
      </c>
      <c r="AG193" s="5" t="str">
        <f t="shared" si="319"/>
        <v>нет</v>
      </c>
      <c r="AH193" s="5" t="str">
        <f>""</f>
        <v/>
      </c>
      <c r="AI193" s="5" t="str">
        <f>""</f>
        <v/>
      </c>
      <c r="AJ193" s="5" t="str">
        <f>""</f>
        <v/>
      </c>
      <c r="AK193" s="8" t="str">
        <f>"1955"</f>
        <v>1955</v>
      </c>
      <c r="AL193" s="5" t="str">
        <f>"40,00"</f>
        <v>40,00</v>
      </c>
      <c r="AM193" s="5" t="str">
        <f>"2023"</f>
        <v>2023</v>
      </c>
      <c r="AN193" s="5" t="str">
        <f t="shared" si="326"/>
        <v>нет</v>
      </c>
      <c r="AO193" s="5" t="str">
        <f t="shared" si="292"/>
        <v>х</v>
      </c>
      <c r="AP193" s="5" t="str">
        <f t="shared" si="283"/>
        <v>х</v>
      </c>
      <c r="AQ193" s="5" t="str">
        <f t="shared" si="293"/>
        <v>х</v>
      </c>
      <c r="AR193" s="5" t="str">
        <f t="shared" si="327"/>
        <v>нет</v>
      </c>
      <c r="AS193" s="5" t="str">
        <f t="shared" si="294"/>
        <v>х</v>
      </c>
      <c r="AT193" s="5" t="str">
        <f t="shared" si="284"/>
        <v>х</v>
      </c>
      <c r="AU193" s="5" t="str">
        <f t="shared" si="295"/>
        <v>х</v>
      </c>
      <c r="AV193" s="5" t="str">
        <f>"1955"</f>
        <v>1955</v>
      </c>
      <c r="AW193" s="5" t="str">
        <f>"40,00"</f>
        <v>40,00</v>
      </c>
      <c r="AX193" s="5" t="str">
        <f>"2023"</f>
        <v>2023</v>
      </c>
      <c r="AY193" s="5" t="str">
        <f t="shared" si="328"/>
        <v>нет</v>
      </c>
      <c r="AZ193" s="5" t="str">
        <f t="shared" si="296"/>
        <v>х</v>
      </c>
      <c r="BA193" s="5" t="str">
        <f t="shared" si="285"/>
        <v>х</v>
      </c>
      <c r="BB193" s="5" t="str">
        <f t="shared" si="297"/>
        <v>х</v>
      </c>
      <c r="BC193" s="5" t="str">
        <f t="shared" si="329"/>
        <v>нет</v>
      </c>
      <c r="BD193" s="5" t="str">
        <f t="shared" si="298"/>
        <v>х</v>
      </c>
      <c r="BE193" s="5" t="str">
        <f t="shared" si="286"/>
        <v>х</v>
      </c>
      <c r="BF193" s="5" t="str">
        <f t="shared" si="299"/>
        <v>х</v>
      </c>
      <c r="BG193" s="5" t="str">
        <f>"1955"</f>
        <v>1955</v>
      </c>
      <c r="BH193" s="5" t="str">
        <f>"40,00"</f>
        <v>40,00</v>
      </c>
      <c r="BI193" s="5" t="str">
        <f>"2023"</f>
        <v>2023</v>
      </c>
      <c r="BJ193" s="5" t="str">
        <f t="shared" si="330"/>
        <v>нет</v>
      </c>
      <c r="BK193" s="5" t="str">
        <f t="shared" si="287"/>
        <v>х</v>
      </c>
      <c r="BL193" s="5" t="str">
        <f t="shared" si="287"/>
        <v>х</v>
      </c>
      <c r="BM193" s="5" t="str">
        <f t="shared" si="287"/>
        <v>х</v>
      </c>
      <c r="BN193" s="5" t="str">
        <f t="shared" si="331"/>
        <v>нет</v>
      </c>
      <c r="BO193" s="5" t="str">
        <f t="shared" si="288"/>
        <v>х</v>
      </c>
      <c r="BP193" s="5" t="str">
        <f t="shared" si="288"/>
        <v>х</v>
      </c>
      <c r="BQ193" s="5" t="str">
        <f t="shared" si="288"/>
        <v>х</v>
      </c>
      <c r="BR193" s="5" t="str">
        <f>"1955"</f>
        <v>1955</v>
      </c>
      <c r="BS193" s="5" t="str">
        <f>"50,00"</f>
        <v>50,00</v>
      </c>
      <c r="BT193" s="5" t="str">
        <f>"2022"</f>
        <v>2022</v>
      </c>
      <c r="BU193" s="5" t="str">
        <f t="shared" si="223"/>
        <v>нет</v>
      </c>
      <c r="BV193" s="5" t="str">
        <f t="shared" si="289"/>
        <v>x</v>
      </c>
      <c r="BW193" s="5" t="str">
        <f t="shared" si="289"/>
        <v>x</v>
      </c>
      <c r="BX193" s="5" t="str">
        <f t="shared" si="289"/>
        <v>x</v>
      </c>
      <c r="BY193" s="5" t="str">
        <f t="shared" si="280"/>
        <v>нет</v>
      </c>
      <c r="BZ193" s="5" t="str">
        <f t="shared" si="323"/>
        <v>x</v>
      </c>
      <c r="CA193" s="5" t="str">
        <f t="shared" si="323"/>
        <v>x</v>
      </c>
      <c r="CB193" s="5" t="str">
        <f t="shared" si="323"/>
        <v>x</v>
      </c>
      <c r="CC193" s="5" t="str">
        <f>"1955"</f>
        <v>1955</v>
      </c>
      <c r="CD193" s="5" t="str">
        <f>"20,00"</f>
        <v>20,00</v>
      </c>
      <c r="CE193" s="5" t="str">
        <f>"2025"</f>
        <v>2025</v>
      </c>
      <c r="CF193" s="5" t="str">
        <f>"1955"</f>
        <v>1955</v>
      </c>
      <c r="CG193" s="5" t="str">
        <f>"30,00"</f>
        <v>30,00</v>
      </c>
      <c r="CH193" s="5" t="str">
        <f>"2025"</f>
        <v>2025</v>
      </c>
      <c r="CI193" s="5" t="str">
        <f>"29,00"</f>
        <v>29,00</v>
      </c>
      <c r="CJ193" s="5" t="str">
        <f>"2030"</f>
        <v>2030</v>
      </c>
    </row>
    <row r="194" spans="1:88" ht="11.25" customHeight="1">
      <c r="A194" s="3" t="str">
        <f>"1.181"</f>
        <v>1.181</v>
      </c>
      <c r="B194" s="4" t="str">
        <f>"г. Грязовец, ул. Мира, д.17"</f>
        <v>г. Грязовец, ул. Мира, д.17</v>
      </c>
      <c r="C194" s="7" t="str">
        <f>"1963"</f>
        <v>1963</v>
      </c>
      <c r="D194" s="5" t="str">
        <f>"1963"</f>
        <v>1963</v>
      </c>
      <c r="E194" s="5" t="str">
        <f>"51,00"</f>
        <v>51,00</v>
      </c>
      <c r="F194" s="5" t="str">
        <f>"2019"</f>
        <v>2019</v>
      </c>
      <c r="G194" s="5" t="str">
        <f t="shared" si="316"/>
        <v>да</v>
      </c>
      <c r="H194" s="5" t="str">
        <f>""</f>
        <v/>
      </c>
      <c r="I194" s="5" t="str">
        <f>"51,00"</f>
        <v>51,00</v>
      </c>
      <c r="J194" s="5" t="str">
        <f>"2019"</f>
        <v>2019</v>
      </c>
      <c r="K194" s="5" t="str">
        <f t="shared" si="317"/>
        <v>да</v>
      </c>
      <c r="L194" s="5" t="str">
        <f>""</f>
        <v/>
      </c>
      <c r="M194" s="5" t="str">
        <f>"60,00"</f>
        <v>60,00</v>
      </c>
      <c r="N194" s="5" t="str">
        <f>"2016"</f>
        <v>2016</v>
      </c>
      <c r="O194" s="8" t="str">
        <f>"1963"</f>
        <v>1963</v>
      </c>
      <c r="P194" s="5" t="str">
        <f>"65,00"</f>
        <v>65,00</v>
      </c>
      <c r="Q194" s="5" t="str">
        <f>"2019"</f>
        <v>2019</v>
      </c>
      <c r="R194" s="5" t="str">
        <f t="shared" si="324"/>
        <v>нет</v>
      </c>
      <c r="S194" s="5" t="str">
        <f t="shared" si="281"/>
        <v>х</v>
      </c>
      <c r="T194" s="5" t="str">
        <f t="shared" si="281"/>
        <v>х</v>
      </c>
      <c r="U194" s="5" t="str">
        <f t="shared" si="281"/>
        <v>х</v>
      </c>
      <c r="V194" s="5" t="str">
        <f t="shared" si="325"/>
        <v>нет</v>
      </c>
      <c r="W194" s="5" t="str">
        <f t="shared" si="282"/>
        <v>х</v>
      </c>
      <c r="X194" s="5" t="str">
        <f t="shared" si="282"/>
        <v>х</v>
      </c>
      <c r="Y194" s="9" t="str">
        <f t="shared" si="282"/>
        <v>х</v>
      </c>
      <c r="Z194" s="5" t="str">
        <f>"1963"</f>
        <v>1963</v>
      </c>
      <c r="AA194" s="5" t="str">
        <f>"65,00"</f>
        <v>65,00</v>
      </c>
      <c r="AB194" s="5" t="str">
        <f>"2020"</f>
        <v>2020</v>
      </c>
      <c r="AC194" s="5" t="str">
        <f t="shared" si="318"/>
        <v>нет</v>
      </c>
      <c r="AD194" s="5" t="str">
        <f>""</f>
        <v/>
      </c>
      <c r="AE194" s="5" t="str">
        <f>""</f>
        <v/>
      </c>
      <c r="AF194" s="5" t="str">
        <f>""</f>
        <v/>
      </c>
      <c r="AG194" s="5" t="str">
        <f t="shared" si="319"/>
        <v>нет</v>
      </c>
      <c r="AH194" s="5" t="str">
        <f>""</f>
        <v/>
      </c>
      <c r="AI194" s="5" t="str">
        <f>""</f>
        <v/>
      </c>
      <c r="AJ194" s="5" t="str">
        <f>""</f>
        <v/>
      </c>
      <c r="AK194" s="8" t="str">
        <f>"1963"</f>
        <v>1963</v>
      </c>
      <c r="AL194" s="5" t="str">
        <f>"65,00"</f>
        <v>65,00</v>
      </c>
      <c r="AM194" s="5" t="str">
        <f>"2020"</f>
        <v>2020</v>
      </c>
      <c r="AN194" s="5" t="str">
        <f t="shared" si="326"/>
        <v>нет</v>
      </c>
      <c r="AO194" s="5" t="str">
        <f t="shared" si="292"/>
        <v>х</v>
      </c>
      <c r="AP194" s="5" t="str">
        <f t="shared" si="283"/>
        <v>х</v>
      </c>
      <c r="AQ194" s="5" t="str">
        <f t="shared" si="293"/>
        <v>х</v>
      </c>
      <c r="AR194" s="5" t="str">
        <f t="shared" si="327"/>
        <v>нет</v>
      </c>
      <c r="AS194" s="5" t="str">
        <f t="shared" si="294"/>
        <v>х</v>
      </c>
      <c r="AT194" s="5" t="str">
        <f t="shared" si="284"/>
        <v>х</v>
      </c>
      <c r="AU194" s="5" t="str">
        <f t="shared" si="295"/>
        <v>х</v>
      </c>
      <c r="AV194" s="5" t="str">
        <f>"1963"</f>
        <v>1963</v>
      </c>
      <c r="AW194" s="5" t="str">
        <f>"65,00"</f>
        <v>65,00</v>
      </c>
      <c r="AX194" s="5" t="str">
        <f>"2018"</f>
        <v>2018</v>
      </c>
      <c r="AY194" s="5" t="str">
        <f t="shared" si="328"/>
        <v>нет</v>
      </c>
      <c r="AZ194" s="5" t="str">
        <f t="shared" si="296"/>
        <v>х</v>
      </c>
      <c r="BA194" s="5" t="str">
        <f t="shared" si="285"/>
        <v>х</v>
      </c>
      <c r="BB194" s="5" t="str">
        <f t="shared" si="297"/>
        <v>х</v>
      </c>
      <c r="BC194" s="5" t="str">
        <f t="shared" si="329"/>
        <v>нет</v>
      </c>
      <c r="BD194" s="5" t="str">
        <f t="shared" si="298"/>
        <v>х</v>
      </c>
      <c r="BE194" s="5" t="str">
        <f t="shared" si="286"/>
        <v>х</v>
      </c>
      <c r="BF194" s="5" t="str">
        <f t="shared" si="299"/>
        <v>х</v>
      </c>
      <c r="BG194" s="5" t="str">
        <f>"1963"</f>
        <v>1963</v>
      </c>
      <c r="BH194" s="5" t="str">
        <f>"65,00"</f>
        <v>65,00</v>
      </c>
      <c r="BI194" s="5" t="str">
        <f>"2019"</f>
        <v>2019</v>
      </c>
      <c r="BJ194" s="5" t="str">
        <f t="shared" si="330"/>
        <v>нет</v>
      </c>
      <c r="BK194" s="5" t="str">
        <f t="shared" si="287"/>
        <v>х</v>
      </c>
      <c r="BL194" s="5" t="str">
        <f t="shared" si="287"/>
        <v>х</v>
      </c>
      <c r="BM194" s="5" t="str">
        <f t="shared" si="287"/>
        <v>х</v>
      </c>
      <c r="BN194" s="5" t="str">
        <f t="shared" si="331"/>
        <v>нет</v>
      </c>
      <c r="BO194" s="5" t="str">
        <f t="shared" si="288"/>
        <v>х</v>
      </c>
      <c r="BP194" s="5" t="str">
        <f t="shared" si="288"/>
        <v>х</v>
      </c>
      <c r="BQ194" s="5" t="str">
        <f t="shared" si="288"/>
        <v>х</v>
      </c>
      <c r="BR194" s="5" t="str">
        <f>"1963"</f>
        <v>1963</v>
      </c>
      <c r="BS194" s="5" t="str">
        <f>"70,00"</f>
        <v>70,00</v>
      </c>
      <c r="BT194" s="5" t="str">
        <f>"2018"</f>
        <v>2018</v>
      </c>
      <c r="BU194" s="5" t="str">
        <f t="shared" si="223"/>
        <v>нет</v>
      </c>
      <c r="BV194" s="5" t="str">
        <f t="shared" ref="BV194:BX213" si="332">"x"</f>
        <v>x</v>
      </c>
      <c r="BW194" s="5" t="str">
        <f t="shared" si="332"/>
        <v>x</v>
      </c>
      <c r="BX194" s="5" t="str">
        <f t="shared" si="332"/>
        <v>x</v>
      </c>
      <c r="BY194" s="5" t="str">
        <f t="shared" si="280"/>
        <v>нет</v>
      </c>
      <c r="BZ194" s="5" t="str">
        <f t="shared" si="323"/>
        <v>x</v>
      </c>
      <c r="CA194" s="5" t="str">
        <f t="shared" si="323"/>
        <v>x</v>
      </c>
      <c r="CB194" s="5" t="str">
        <f t="shared" si="323"/>
        <v>x</v>
      </c>
      <c r="CC194" s="5" t="str">
        <f>"1963"</f>
        <v>1963</v>
      </c>
      <c r="CD194" s="5" t="str">
        <f>"60,00"</f>
        <v>60,00</v>
      </c>
      <c r="CE194" s="5" t="str">
        <f>"2018"</f>
        <v>2018</v>
      </c>
      <c r="CF194" s="5" t="str">
        <f>"1963"</f>
        <v>1963</v>
      </c>
      <c r="CG194" s="5" t="str">
        <f>"65,00"</f>
        <v>65,00</v>
      </c>
      <c r="CH194" s="5" t="str">
        <f>"2018"</f>
        <v>2018</v>
      </c>
      <c r="CI194" s="5" t="str">
        <f>"58,00"</f>
        <v>58,00</v>
      </c>
      <c r="CJ194" s="5" t="str">
        <f>"2020"</f>
        <v>2020</v>
      </c>
    </row>
    <row r="195" spans="1:88" ht="11.25" customHeight="1">
      <c r="A195" s="3" t="str">
        <f>"1.182"</f>
        <v>1.182</v>
      </c>
      <c r="B195" s="4" t="str">
        <f>"г. Грязовец, ул. Мира, д.19"</f>
        <v>г. Грязовец, ул. Мира, д.19</v>
      </c>
      <c r="C195" s="7" t="str">
        <f>"1976"</f>
        <v>1976</v>
      </c>
      <c r="D195" s="5" t="str">
        <f>"1976"</f>
        <v>1976</v>
      </c>
      <c r="E195" s="5" t="str">
        <f>"25,00"</f>
        <v>25,00</v>
      </c>
      <c r="F195" s="5" t="str">
        <f>"2028"</f>
        <v>2028</v>
      </c>
      <c r="G195" s="5" t="str">
        <f t="shared" si="316"/>
        <v>да</v>
      </c>
      <c r="H195" s="5" t="str">
        <f>""</f>
        <v/>
      </c>
      <c r="I195" s="5" t="str">
        <f>"20,00"</f>
        <v>20,00</v>
      </c>
      <c r="J195" s="5" t="str">
        <f>"2028"</f>
        <v>2028</v>
      </c>
      <c r="K195" s="5" t="str">
        <f t="shared" si="317"/>
        <v>да</v>
      </c>
      <c r="L195" s="5" t="str">
        <f>""</f>
        <v/>
      </c>
      <c r="M195" s="5" t="str">
        <f>"20,00"</f>
        <v>20,00</v>
      </c>
      <c r="N195" s="5" t="str">
        <f>"2028"</f>
        <v>2028</v>
      </c>
      <c r="O195" s="8" t="str">
        <f>"1976"</f>
        <v>1976</v>
      </c>
      <c r="P195" s="5" t="str">
        <f>"20,00"</f>
        <v>20,00</v>
      </c>
      <c r="Q195" s="5" t="str">
        <f>"2028"</f>
        <v>2028</v>
      </c>
      <c r="R195" s="5" t="str">
        <f t="shared" si="324"/>
        <v>нет</v>
      </c>
      <c r="S195" s="5" t="str">
        <f t="shared" si="281"/>
        <v>х</v>
      </c>
      <c r="T195" s="5" t="str">
        <f t="shared" si="281"/>
        <v>х</v>
      </c>
      <c r="U195" s="5" t="str">
        <f t="shared" si="281"/>
        <v>х</v>
      </c>
      <c r="V195" s="5" t="str">
        <f t="shared" si="325"/>
        <v>нет</v>
      </c>
      <c r="W195" s="5" t="str">
        <f t="shared" si="282"/>
        <v>х</v>
      </c>
      <c r="X195" s="5" t="str">
        <f t="shared" si="282"/>
        <v>х</v>
      </c>
      <c r="Y195" s="9" t="str">
        <f t="shared" si="282"/>
        <v>х</v>
      </c>
      <c r="Z195" s="5" t="str">
        <f>"1976"</f>
        <v>1976</v>
      </c>
      <c r="AA195" s="5" t="str">
        <f>"20,00"</f>
        <v>20,00</v>
      </c>
      <c r="AB195" s="5" t="str">
        <f>"2028"</f>
        <v>2028</v>
      </c>
      <c r="AC195" s="5" t="str">
        <f t="shared" si="318"/>
        <v>нет</v>
      </c>
      <c r="AD195" s="5" t="str">
        <f>"х"</f>
        <v>х</v>
      </c>
      <c r="AE195" s="5" t="str">
        <f>"х"</f>
        <v>х</v>
      </c>
      <c r="AF195" s="5" t="str">
        <f>"х"</f>
        <v>х</v>
      </c>
      <c r="AG195" s="5" t="str">
        <f t="shared" si="319"/>
        <v>нет</v>
      </c>
      <c r="AH195" s="5" t="str">
        <f>"х"</f>
        <v>х</v>
      </c>
      <c r="AI195" s="5" t="str">
        <f>"х"</f>
        <v>х</v>
      </c>
      <c r="AJ195" s="5" t="str">
        <f>"х"</f>
        <v>х</v>
      </c>
      <c r="AK195" s="8" t="str">
        <f>"1976"</f>
        <v>1976</v>
      </c>
      <c r="AL195" s="5" t="str">
        <f>"20,00"</f>
        <v>20,00</v>
      </c>
      <c r="AM195" s="5" t="str">
        <f>"2027"</f>
        <v>2027</v>
      </c>
      <c r="AN195" s="5" t="str">
        <f t="shared" si="326"/>
        <v>нет</v>
      </c>
      <c r="AO195" s="5" t="str">
        <f t="shared" si="292"/>
        <v>х</v>
      </c>
      <c r="AP195" s="5" t="str">
        <f t="shared" si="283"/>
        <v>х</v>
      </c>
      <c r="AQ195" s="5" t="str">
        <f t="shared" si="293"/>
        <v>х</v>
      </c>
      <c r="AR195" s="5" t="str">
        <f t="shared" si="327"/>
        <v>нет</v>
      </c>
      <c r="AS195" s="5" t="str">
        <f t="shared" si="294"/>
        <v>х</v>
      </c>
      <c r="AT195" s="5" t="str">
        <f t="shared" si="284"/>
        <v>х</v>
      </c>
      <c r="AU195" s="5" t="str">
        <f t="shared" si="295"/>
        <v>х</v>
      </c>
      <c r="AV195" s="5" t="str">
        <f>"1976"</f>
        <v>1976</v>
      </c>
      <c r="AW195" s="5" t="str">
        <f>"20,00"</f>
        <v>20,00</v>
      </c>
      <c r="AX195" s="5" t="str">
        <f>"2027"</f>
        <v>2027</v>
      </c>
      <c r="AY195" s="5" t="str">
        <f t="shared" si="328"/>
        <v>нет</v>
      </c>
      <c r="AZ195" s="5" t="str">
        <f t="shared" si="296"/>
        <v>х</v>
      </c>
      <c r="BA195" s="5" t="str">
        <f t="shared" si="285"/>
        <v>х</v>
      </c>
      <c r="BB195" s="5" t="str">
        <f t="shared" si="297"/>
        <v>х</v>
      </c>
      <c r="BC195" s="5" t="str">
        <f t="shared" si="329"/>
        <v>нет</v>
      </c>
      <c r="BD195" s="5" t="str">
        <f t="shared" si="298"/>
        <v>х</v>
      </c>
      <c r="BE195" s="5" t="str">
        <f t="shared" si="286"/>
        <v>х</v>
      </c>
      <c r="BF195" s="5" t="str">
        <f t="shared" si="299"/>
        <v>х</v>
      </c>
      <c r="BG195" s="5" t="str">
        <f>"1976"</f>
        <v>1976</v>
      </c>
      <c r="BH195" s="5" t="str">
        <f>"25,00"</f>
        <v>25,00</v>
      </c>
      <c r="BI195" s="5" t="str">
        <f>"2027"</f>
        <v>2027</v>
      </c>
      <c r="BJ195" s="5" t="str">
        <f t="shared" si="330"/>
        <v>нет</v>
      </c>
      <c r="BK195" s="5" t="str">
        <f t="shared" si="287"/>
        <v>х</v>
      </c>
      <c r="BL195" s="5" t="str">
        <f t="shared" si="287"/>
        <v>х</v>
      </c>
      <c r="BM195" s="5" t="str">
        <f t="shared" si="287"/>
        <v>х</v>
      </c>
      <c r="BN195" s="5" t="str">
        <f t="shared" si="331"/>
        <v>нет</v>
      </c>
      <c r="BO195" s="5" t="str">
        <f t="shared" si="288"/>
        <v>х</v>
      </c>
      <c r="BP195" s="5" t="str">
        <f t="shared" si="288"/>
        <v>х</v>
      </c>
      <c r="BQ195" s="5" t="str">
        <f t="shared" si="288"/>
        <v>х</v>
      </c>
      <c r="BR195" s="5" t="str">
        <f>"1976"</f>
        <v>1976</v>
      </c>
      <c r="BS195" s="5" t="str">
        <f>"35,00"</f>
        <v>35,00</v>
      </c>
      <c r="BT195" s="5" t="str">
        <f>"2026"</f>
        <v>2026</v>
      </c>
      <c r="BU195" s="5" t="str">
        <f t="shared" si="223"/>
        <v>нет</v>
      </c>
      <c r="BV195" s="5" t="str">
        <f t="shared" si="332"/>
        <v>x</v>
      </c>
      <c r="BW195" s="5" t="str">
        <f t="shared" si="332"/>
        <v>x</v>
      </c>
      <c r="BX195" s="5" t="str">
        <f t="shared" si="332"/>
        <v>x</v>
      </c>
      <c r="BY195" s="5" t="str">
        <f t="shared" si="280"/>
        <v>нет</v>
      </c>
      <c r="BZ195" s="5" t="str">
        <f t="shared" si="323"/>
        <v>x</v>
      </c>
      <c r="CA195" s="5" t="str">
        <f t="shared" si="323"/>
        <v>x</v>
      </c>
      <c r="CB195" s="5" t="str">
        <f t="shared" si="323"/>
        <v>x</v>
      </c>
      <c r="CC195" s="5" t="str">
        <f>"1976"</f>
        <v>1976</v>
      </c>
      <c r="CD195" s="5" t="str">
        <f>"15,00"</f>
        <v>15,00</v>
      </c>
      <c r="CE195" s="5" t="str">
        <f>"2028"</f>
        <v>2028</v>
      </c>
      <c r="CF195" s="5" t="str">
        <f>"1976"</f>
        <v>1976</v>
      </c>
      <c r="CG195" s="5" t="str">
        <f>"35,00"</f>
        <v>35,00</v>
      </c>
      <c r="CH195" s="5" t="str">
        <f>"2027"</f>
        <v>2027</v>
      </c>
      <c r="CI195" s="5" t="str">
        <f>"15,00"</f>
        <v>15,00</v>
      </c>
      <c r="CJ195" s="5" t="str">
        <f>"2030"</f>
        <v>2030</v>
      </c>
    </row>
    <row r="196" spans="1:88" ht="11.25" customHeight="1">
      <c r="A196" s="3" t="str">
        <f>"1.183"</f>
        <v>1.183</v>
      </c>
      <c r="B196" s="4" t="str">
        <f>"г. Грязовец, ул. Мира, д.21"</f>
        <v>г. Грязовец, ул. Мира, д.21</v>
      </c>
      <c r="C196" s="7" t="str">
        <f>"1971"</f>
        <v>1971</v>
      </c>
      <c r="D196" s="5" t="str">
        <f>"1971"</f>
        <v>1971</v>
      </c>
      <c r="E196" s="5" t="str">
        <f>"30,00"</f>
        <v>30,00</v>
      </c>
      <c r="F196" s="5" t="str">
        <f>"2025"</f>
        <v>2025</v>
      </c>
      <c r="G196" s="5" t="str">
        <f t="shared" si="316"/>
        <v>да</v>
      </c>
      <c r="H196" s="5" t="str">
        <f>""</f>
        <v/>
      </c>
      <c r="I196" s="5" t="str">
        <f>"20,00"</f>
        <v>20,00</v>
      </c>
      <c r="J196" s="5" t="str">
        <f>"2028"</f>
        <v>2028</v>
      </c>
      <c r="K196" s="5" t="str">
        <f t="shared" si="317"/>
        <v>да</v>
      </c>
      <c r="L196" s="5" t="str">
        <f>""</f>
        <v/>
      </c>
      <c r="M196" s="5" t="str">
        <f>"20,00"</f>
        <v>20,00</v>
      </c>
      <c r="N196" s="5" t="str">
        <f>"2028"</f>
        <v>2028</v>
      </c>
      <c r="O196" s="8" t="str">
        <f>"1971"</f>
        <v>1971</v>
      </c>
      <c r="P196" s="5" t="str">
        <f>"25,00"</f>
        <v>25,00</v>
      </c>
      <c r="Q196" s="5" t="str">
        <f>"2030"</f>
        <v>2030</v>
      </c>
      <c r="R196" s="5" t="str">
        <f t="shared" si="324"/>
        <v>нет</v>
      </c>
      <c r="S196" s="5" t="str">
        <f t="shared" si="281"/>
        <v>х</v>
      </c>
      <c r="T196" s="5" t="str">
        <f t="shared" si="281"/>
        <v>х</v>
      </c>
      <c r="U196" s="5" t="str">
        <f t="shared" si="281"/>
        <v>х</v>
      </c>
      <c r="V196" s="5" t="str">
        <f t="shared" si="325"/>
        <v>нет</v>
      </c>
      <c r="W196" s="5" t="str">
        <f t="shared" si="282"/>
        <v>х</v>
      </c>
      <c r="X196" s="5" t="str">
        <f t="shared" si="282"/>
        <v>х</v>
      </c>
      <c r="Y196" s="9" t="str">
        <f t="shared" si="282"/>
        <v>х</v>
      </c>
      <c r="Z196" s="5" t="str">
        <f>"1971"</f>
        <v>1971</v>
      </c>
      <c r="AA196" s="5" t="str">
        <f>"33,00"</f>
        <v>33,00</v>
      </c>
      <c r="AB196" s="5" t="str">
        <f>"2022"</f>
        <v>2022</v>
      </c>
      <c r="AC196" s="5" t="str">
        <f t="shared" si="318"/>
        <v>нет</v>
      </c>
      <c r="AD196" s="5" t="str">
        <f>""</f>
        <v/>
      </c>
      <c r="AE196" s="5" t="str">
        <f>""</f>
        <v/>
      </c>
      <c r="AF196" s="5" t="str">
        <f>""</f>
        <v/>
      </c>
      <c r="AG196" s="5" t="str">
        <f t="shared" si="319"/>
        <v>нет</v>
      </c>
      <c r="AH196" s="5" t="str">
        <f>""</f>
        <v/>
      </c>
      <c r="AI196" s="5" t="str">
        <f>""</f>
        <v/>
      </c>
      <c r="AJ196" s="5" t="str">
        <f>""</f>
        <v/>
      </c>
      <c r="AK196" s="8" t="str">
        <f>"1971"</f>
        <v>1971</v>
      </c>
      <c r="AL196" s="5" t="str">
        <f>"30,00"</f>
        <v>30,00</v>
      </c>
      <c r="AM196" s="5" t="str">
        <f>"2022"</f>
        <v>2022</v>
      </c>
      <c r="AN196" s="5" t="str">
        <f t="shared" si="326"/>
        <v>нет</v>
      </c>
      <c r="AO196" s="5" t="str">
        <f t="shared" si="292"/>
        <v>х</v>
      </c>
      <c r="AP196" s="5" t="str">
        <f t="shared" si="283"/>
        <v>х</v>
      </c>
      <c r="AQ196" s="5" t="str">
        <f t="shared" si="293"/>
        <v>х</v>
      </c>
      <c r="AR196" s="5" t="str">
        <f t="shared" si="327"/>
        <v>нет</v>
      </c>
      <c r="AS196" s="5" t="str">
        <f t="shared" si="294"/>
        <v>х</v>
      </c>
      <c r="AT196" s="5" t="str">
        <f t="shared" si="284"/>
        <v>х</v>
      </c>
      <c r="AU196" s="5" t="str">
        <f t="shared" si="295"/>
        <v>х</v>
      </c>
      <c r="AV196" s="5" t="str">
        <f>"1971"</f>
        <v>1971</v>
      </c>
      <c r="AW196" s="5" t="str">
        <f>"30,00"</f>
        <v>30,00</v>
      </c>
      <c r="AX196" s="5" t="str">
        <f>"2022"</f>
        <v>2022</v>
      </c>
      <c r="AY196" s="5" t="str">
        <f t="shared" si="328"/>
        <v>нет</v>
      </c>
      <c r="AZ196" s="5" t="str">
        <f t="shared" si="296"/>
        <v>х</v>
      </c>
      <c r="BA196" s="5" t="str">
        <f t="shared" si="285"/>
        <v>х</v>
      </c>
      <c r="BB196" s="5" t="str">
        <f t="shared" si="297"/>
        <v>х</v>
      </c>
      <c r="BC196" s="5" t="str">
        <f t="shared" si="329"/>
        <v>нет</v>
      </c>
      <c r="BD196" s="5" t="str">
        <f t="shared" si="298"/>
        <v>х</v>
      </c>
      <c r="BE196" s="5" t="str">
        <f t="shared" si="286"/>
        <v>х</v>
      </c>
      <c r="BF196" s="5" t="str">
        <f t="shared" si="299"/>
        <v>х</v>
      </c>
      <c r="BG196" s="5" t="str">
        <f>"1971"</f>
        <v>1971</v>
      </c>
      <c r="BH196" s="5" t="str">
        <f>"30,00"</f>
        <v>30,00</v>
      </c>
      <c r="BI196" s="5" t="str">
        <f>"2022"</f>
        <v>2022</v>
      </c>
      <c r="BJ196" s="5" t="str">
        <f t="shared" si="330"/>
        <v>нет</v>
      </c>
      <c r="BK196" s="5" t="str">
        <f t="shared" si="287"/>
        <v>х</v>
      </c>
      <c r="BL196" s="5" t="str">
        <f t="shared" si="287"/>
        <v>х</v>
      </c>
      <c r="BM196" s="5" t="str">
        <f t="shared" si="287"/>
        <v>х</v>
      </c>
      <c r="BN196" s="5" t="str">
        <f t="shared" si="331"/>
        <v>нет</v>
      </c>
      <c r="BO196" s="5" t="str">
        <f t="shared" si="288"/>
        <v>х</v>
      </c>
      <c r="BP196" s="5" t="str">
        <f t="shared" si="288"/>
        <v>х</v>
      </c>
      <c r="BQ196" s="5" t="str">
        <f t="shared" si="288"/>
        <v>х</v>
      </c>
      <c r="BR196" s="5" t="str">
        <f>"1971"</f>
        <v>1971</v>
      </c>
      <c r="BS196" s="5" t="str">
        <f>"40,00"</f>
        <v>40,00</v>
      </c>
      <c r="BT196" s="5" t="str">
        <f>"2021"</f>
        <v>2021</v>
      </c>
      <c r="BU196" s="5" t="str">
        <f t="shared" si="223"/>
        <v>нет</v>
      </c>
      <c r="BV196" s="5" t="str">
        <f t="shared" si="332"/>
        <v>x</v>
      </c>
      <c r="BW196" s="5" t="str">
        <f t="shared" si="332"/>
        <v>x</v>
      </c>
      <c r="BX196" s="5" t="str">
        <f t="shared" si="332"/>
        <v>x</v>
      </c>
      <c r="BY196" s="5" t="str">
        <f t="shared" si="280"/>
        <v>нет</v>
      </c>
      <c r="BZ196" s="5" t="str">
        <f t="shared" si="323"/>
        <v>x</v>
      </c>
      <c r="CA196" s="5" t="str">
        <f t="shared" si="323"/>
        <v>x</v>
      </c>
      <c r="CB196" s="5" t="str">
        <f t="shared" si="323"/>
        <v>x</v>
      </c>
      <c r="CC196" s="5" t="str">
        <f>"1971"</f>
        <v>1971</v>
      </c>
      <c r="CD196" s="5" t="str">
        <f>"25,00"</f>
        <v>25,00</v>
      </c>
      <c r="CE196" s="5" t="str">
        <f>"2023"</f>
        <v>2023</v>
      </c>
      <c r="CF196" s="5" t="str">
        <f>"1971"</f>
        <v>1971</v>
      </c>
      <c r="CG196" s="5" t="str">
        <f>"35,00"</f>
        <v>35,00</v>
      </c>
      <c r="CH196" s="5" t="str">
        <f>"2022"</f>
        <v>2022</v>
      </c>
      <c r="CI196" s="5" t="str">
        <f>"25,00"</f>
        <v>25,00</v>
      </c>
      <c r="CJ196" s="5" t="str">
        <f>"2035"</f>
        <v>2035</v>
      </c>
    </row>
    <row r="197" spans="1:88" ht="11.25" customHeight="1">
      <c r="A197" s="3" t="str">
        <f>"1.184"</f>
        <v>1.184</v>
      </c>
      <c r="B197" s="4" t="str">
        <f>"г. Грязовец, ул. Мира, д.28"</f>
        <v>г. Грязовец, ул. Мира, д.28</v>
      </c>
      <c r="C197" s="7" t="str">
        <f>"1984"</f>
        <v>1984</v>
      </c>
      <c r="D197" s="5" t="str">
        <f>"1984"</f>
        <v>1984</v>
      </c>
      <c r="E197" s="5" t="str">
        <f>"20,00"</f>
        <v>20,00</v>
      </c>
      <c r="F197" s="5" t="str">
        <f>"2025"</f>
        <v>2025</v>
      </c>
      <c r="G197" s="5" t="str">
        <f t="shared" si="316"/>
        <v>да</v>
      </c>
      <c r="H197" s="5" t="str">
        <f>""</f>
        <v/>
      </c>
      <c r="I197" s="5" t="str">
        <f>"20,00"</f>
        <v>20,00</v>
      </c>
      <c r="J197" s="5" t="str">
        <f>"2025"</f>
        <v>2025</v>
      </c>
      <c r="K197" s="5" t="str">
        <f t="shared" si="317"/>
        <v>да</v>
      </c>
      <c r="L197" s="5" t="str">
        <f>""</f>
        <v/>
      </c>
      <c r="M197" s="5" t="str">
        <f>"20,00"</f>
        <v>20,00</v>
      </c>
      <c r="N197" s="5" t="str">
        <f>"2025"</f>
        <v>2025</v>
      </c>
      <c r="O197" s="8" t="str">
        <f>"1984"</f>
        <v>1984</v>
      </c>
      <c r="P197" s="5" t="str">
        <f>"50,00"</f>
        <v>50,00</v>
      </c>
      <c r="Q197" s="5" t="str">
        <f>"2018"</f>
        <v>2018</v>
      </c>
      <c r="R197" s="5" t="str">
        <f t="shared" si="324"/>
        <v>нет</v>
      </c>
      <c r="S197" s="5" t="str">
        <f t="shared" si="281"/>
        <v>х</v>
      </c>
      <c r="T197" s="5" t="str">
        <f t="shared" si="281"/>
        <v>х</v>
      </c>
      <c r="U197" s="5" t="str">
        <f t="shared" si="281"/>
        <v>х</v>
      </c>
      <c r="V197" s="5" t="str">
        <f t="shared" si="325"/>
        <v>нет</v>
      </c>
      <c r="W197" s="5" t="str">
        <f t="shared" si="282"/>
        <v>х</v>
      </c>
      <c r="X197" s="5" t="str">
        <f t="shared" si="282"/>
        <v>х</v>
      </c>
      <c r="Y197" s="9" t="str">
        <f t="shared" si="282"/>
        <v>х</v>
      </c>
      <c r="Z197" s="5" t="str">
        <f>"1984"</f>
        <v>1984</v>
      </c>
      <c r="AA197" s="5" t="str">
        <f>"25,00"</f>
        <v>25,00</v>
      </c>
      <c r="AB197" s="5" t="str">
        <f>"2021"</f>
        <v>2021</v>
      </c>
      <c r="AC197" s="5" t="str">
        <f t="shared" si="318"/>
        <v>нет</v>
      </c>
      <c r="AD197" s="5" t="str">
        <f>""</f>
        <v/>
      </c>
      <c r="AE197" s="5" t="str">
        <f>""</f>
        <v/>
      </c>
      <c r="AF197" s="5" t="str">
        <f>""</f>
        <v/>
      </c>
      <c r="AG197" s="5" t="str">
        <f t="shared" si="319"/>
        <v>нет</v>
      </c>
      <c r="AH197" s="5" t="str">
        <f>""</f>
        <v/>
      </c>
      <c r="AI197" s="5" t="str">
        <f>""</f>
        <v/>
      </c>
      <c r="AJ197" s="5" t="str">
        <f>""</f>
        <v/>
      </c>
      <c r="AK197" s="8" t="str">
        <f>"1984"</f>
        <v>1984</v>
      </c>
      <c r="AL197" s="5" t="str">
        <f>"24,00"</f>
        <v>24,00</v>
      </c>
      <c r="AM197" s="5" t="str">
        <f>"2021"</f>
        <v>2021</v>
      </c>
      <c r="AN197" s="5" t="str">
        <f t="shared" si="326"/>
        <v>нет</v>
      </c>
      <c r="AO197" s="5" t="str">
        <f t="shared" si="292"/>
        <v>х</v>
      </c>
      <c r="AP197" s="5" t="str">
        <f t="shared" si="283"/>
        <v>х</v>
      </c>
      <c r="AQ197" s="5" t="str">
        <f t="shared" si="293"/>
        <v>х</v>
      </c>
      <c r="AR197" s="5" t="str">
        <f t="shared" si="327"/>
        <v>нет</v>
      </c>
      <c r="AS197" s="5" t="str">
        <f t="shared" si="294"/>
        <v>х</v>
      </c>
      <c r="AT197" s="5" t="str">
        <f t="shared" si="284"/>
        <v>х</v>
      </c>
      <c r="AU197" s="5" t="str">
        <f t="shared" si="295"/>
        <v>х</v>
      </c>
      <c r="AV197" s="5" t="str">
        <f>"1984"</f>
        <v>1984</v>
      </c>
      <c r="AW197" s="5" t="str">
        <f>"24,00"</f>
        <v>24,00</v>
      </c>
      <c r="AX197" s="5" t="str">
        <f>"2021"</f>
        <v>2021</v>
      </c>
      <c r="AY197" s="5" t="str">
        <f t="shared" si="328"/>
        <v>нет</v>
      </c>
      <c r="AZ197" s="5" t="str">
        <f t="shared" si="296"/>
        <v>х</v>
      </c>
      <c r="BA197" s="5" t="str">
        <f t="shared" si="285"/>
        <v>х</v>
      </c>
      <c r="BB197" s="5" t="str">
        <f t="shared" si="297"/>
        <v>х</v>
      </c>
      <c r="BC197" s="5" t="str">
        <f t="shared" si="329"/>
        <v>нет</v>
      </c>
      <c r="BD197" s="5" t="str">
        <f t="shared" si="298"/>
        <v>х</v>
      </c>
      <c r="BE197" s="5" t="str">
        <f t="shared" si="286"/>
        <v>х</v>
      </c>
      <c r="BF197" s="5" t="str">
        <f t="shared" si="299"/>
        <v>х</v>
      </c>
      <c r="BG197" s="5" t="str">
        <f>"1984"</f>
        <v>1984</v>
      </c>
      <c r="BH197" s="5" t="str">
        <f>"25,00"</f>
        <v>25,00</v>
      </c>
      <c r="BI197" s="5" t="str">
        <f>"2021"</f>
        <v>2021</v>
      </c>
      <c r="BJ197" s="5" t="str">
        <f t="shared" si="330"/>
        <v>нет</v>
      </c>
      <c r="BK197" s="5" t="str">
        <f t="shared" si="287"/>
        <v>х</v>
      </c>
      <c r="BL197" s="5" t="str">
        <f t="shared" si="287"/>
        <v>х</v>
      </c>
      <c r="BM197" s="5" t="str">
        <f t="shared" si="287"/>
        <v>х</v>
      </c>
      <c r="BN197" s="5" t="str">
        <f t="shared" si="331"/>
        <v>нет</v>
      </c>
      <c r="BO197" s="5" t="str">
        <f t="shared" si="288"/>
        <v>х</v>
      </c>
      <c r="BP197" s="5" t="str">
        <f t="shared" si="288"/>
        <v>х</v>
      </c>
      <c r="BQ197" s="5" t="str">
        <f t="shared" si="288"/>
        <v>х</v>
      </c>
      <c r="BR197" s="5" t="str">
        <f>"1984"</f>
        <v>1984</v>
      </c>
      <c r="BS197" s="5" t="str">
        <f>"35,00"</f>
        <v>35,00</v>
      </c>
      <c r="BT197" s="5" t="str">
        <f>"2021"</f>
        <v>2021</v>
      </c>
      <c r="BU197" s="5" t="str">
        <f t="shared" si="223"/>
        <v>нет</v>
      </c>
      <c r="BV197" s="5" t="str">
        <f t="shared" si="332"/>
        <v>x</v>
      </c>
      <c r="BW197" s="5" t="str">
        <f t="shared" si="332"/>
        <v>x</v>
      </c>
      <c r="BX197" s="5" t="str">
        <f t="shared" si="332"/>
        <v>x</v>
      </c>
      <c r="BY197" s="5" t="str">
        <f t="shared" si="280"/>
        <v>нет</v>
      </c>
      <c r="BZ197" s="5" t="str">
        <f>"1984"</f>
        <v>1984</v>
      </c>
      <c r="CA197" s="5" t="str">
        <f>"32,00"</f>
        <v>32,00</v>
      </c>
      <c r="CB197" s="5" t="str">
        <f>"2024"</f>
        <v>2024</v>
      </c>
      <c r="CC197" s="5" t="str">
        <f>"1984"</f>
        <v>1984</v>
      </c>
      <c r="CD197" s="5" t="str">
        <f>"20,00"</f>
        <v>20,00</v>
      </c>
      <c r="CE197" s="5" t="str">
        <f>"2025"</f>
        <v>2025</v>
      </c>
      <c r="CF197" s="5" t="str">
        <f>"1984"</f>
        <v>1984</v>
      </c>
      <c r="CG197" s="5" t="str">
        <f>"35,00"</f>
        <v>35,00</v>
      </c>
      <c r="CH197" s="5" t="str">
        <f>"2022"</f>
        <v>2022</v>
      </c>
      <c r="CI197" s="5" t="str">
        <f>"13,00"</f>
        <v>13,00</v>
      </c>
      <c r="CJ197" s="5" t="str">
        <f>"2030"</f>
        <v>2030</v>
      </c>
    </row>
    <row r="198" spans="1:88" ht="11.25" customHeight="1">
      <c r="A198" s="3" t="str">
        <f>"1.185"</f>
        <v>1.185</v>
      </c>
      <c r="B198" s="4" t="str">
        <f>"г. Грязовец, ул. Молодежная, д.11"</f>
        <v>г. Грязовец, ул. Молодежная, д.11</v>
      </c>
      <c r="C198" s="7" t="str">
        <f>"1988"</f>
        <v>1988</v>
      </c>
      <c r="D198" s="5" t="str">
        <f>"1988"</f>
        <v>1988</v>
      </c>
      <c r="E198" s="5" t="str">
        <f>"25,00"</f>
        <v>25,00</v>
      </c>
      <c r="F198" s="5" t="str">
        <f>"2025"</f>
        <v>2025</v>
      </c>
      <c r="G198" s="5" t="str">
        <f t="shared" si="316"/>
        <v>да</v>
      </c>
      <c r="H198" s="5" t="str">
        <f>""</f>
        <v/>
      </c>
      <c r="I198" s="5" t="str">
        <f>"20,00"</f>
        <v>20,00</v>
      </c>
      <c r="J198" s="5" t="str">
        <f>"2025"</f>
        <v>2025</v>
      </c>
      <c r="K198" s="5" t="str">
        <f t="shared" si="317"/>
        <v>да</v>
      </c>
      <c r="L198" s="5" t="str">
        <f>""</f>
        <v/>
      </c>
      <c r="M198" s="5" t="str">
        <f>"20,00"</f>
        <v>20,00</v>
      </c>
      <c r="N198" s="5" t="str">
        <f>"2025"</f>
        <v>2025</v>
      </c>
      <c r="O198" s="8" t="str">
        <f>"1988"</f>
        <v>1988</v>
      </c>
      <c r="P198" s="5" t="str">
        <f>"25,00"</f>
        <v>25,00</v>
      </c>
      <c r="Q198" s="5" t="str">
        <f>"2025"</f>
        <v>2025</v>
      </c>
      <c r="R198" s="5" t="str">
        <f t="shared" si="324"/>
        <v>нет</v>
      </c>
      <c r="S198" s="5" t="str">
        <f>""</f>
        <v/>
      </c>
      <c r="T198" s="5" t="str">
        <f>""</f>
        <v/>
      </c>
      <c r="U198" s="5" t="str">
        <f>""</f>
        <v/>
      </c>
      <c r="V198" s="5" t="str">
        <f t="shared" si="325"/>
        <v>нет</v>
      </c>
      <c r="W198" s="5" t="str">
        <f>""</f>
        <v/>
      </c>
      <c r="X198" s="5" t="str">
        <f>""</f>
        <v/>
      </c>
      <c r="Y198" s="9" t="str">
        <f>""</f>
        <v/>
      </c>
      <c r="Z198" s="5" t="str">
        <f>"1988"</f>
        <v>1988</v>
      </c>
      <c r="AA198" s="5" t="str">
        <f>"30,00"</f>
        <v>30,00</v>
      </c>
      <c r="AB198" s="5" t="str">
        <f>"2023"</f>
        <v>2023</v>
      </c>
      <c r="AC198" s="5" t="str">
        <f t="shared" si="318"/>
        <v>нет</v>
      </c>
      <c r="AD198" s="5" t="str">
        <f>""</f>
        <v/>
      </c>
      <c r="AE198" s="5" t="str">
        <f>""</f>
        <v/>
      </c>
      <c r="AF198" s="5" t="str">
        <f>""</f>
        <v/>
      </c>
      <c r="AG198" s="5" t="str">
        <f t="shared" si="319"/>
        <v>нет</v>
      </c>
      <c r="AH198" s="5" t="str">
        <f>""</f>
        <v/>
      </c>
      <c r="AI198" s="5" t="str">
        <f>""</f>
        <v/>
      </c>
      <c r="AJ198" s="5" t="str">
        <f>""</f>
        <v/>
      </c>
      <c r="AK198" s="8" t="str">
        <f>"1988"</f>
        <v>1988</v>
      </c>
      <c r="AL198" s="5" t="str">
        <f>"25,00"</f>
        <v>25,00</v>
      </c>
      <c r="AM198" s="5" t="str">
        <f>"2025"</f>
        <v>2025</v>
      </c>
      <c r="AN198" s="5" t="str">
        <f t="shared" si="326"/>
        <v>нет</v>
      </c>
      <c r="AO198" s="5" t="str">
        <f>""</f>
        <v/>
      </c>
      <c r="AP198" s="5" t="str">
        <f>""</f>
        <v/>
      </c>
      <c r="AQ198" s="5" t="str">
        <f>""</f>
        <v/>
      </c>
      <c r="AR198" s="5" t="str">
        <f t="shared" si="327"/>
        <v>нет</v>
      </c>
      <c r="AS198" s="5" t="str">
        <f>""</f>
        <v/>
      </c>
      <c r="AT198" s="5" t="str">
        <f>""</f>
        <v/>
      </c>
      <c r="AU198" s="5" t="str">
        <f>""</f>
        <v/>
      </c>
      <c r="AV198" s="5" t="str">
        <f>"1988"</f>
        <v>1988</v>
      </c>
      <c r="AW198" s="5" t="str">
        <f>"25,00"</f>
        <v>25,00</v>
      </c>
      <c r="AX198" s="5" t="str">
        <f>"2025"</f>
        <v>2025</v>
      </c>
      <c r="AY198" s="5" t="str">
        <f t="shared" si="328"/>
        <v>нет</v>
      </c>
      <c r="AZ198" s="5" t="str">
        <f>""</f>
        <v/>
      </c>
      <c r="BA198" s="5" t="str">
        <f>""</f>
        <v/>
      </c>
      <c r="BB198" s="5" t="str">
        <f>""</f>
        <v/>
      </c>
      <c r="BC198" s="5" t="str">
        <f t="shared" si="329"/>
        <v>нет</v>
      </c>
      <c r="BD198" s="5" t="str">
        <f>""</f>
        <v/>
      </c>
      <c r="BE198" s="5" t="str">
        <f>""</f>
        <v/>
      </c>
      <c r="BF198" s="5" t="str">
        <f>""</f>
        <v/>
      </c>
      <c r="BG198" s="5" t="str">
        <f>"1988"</f>
        <v>1988</v>
      </c>
      <c r="BH198" s="5" t="str">
        <f>"30,00"</f>
        <v>30,00</v>
      </c>
      <c r="BI198" s="5" t="str">
        <f>"2023"</f>
        <v>2023</v>
      </c>
      <c r="BJ198" s="5" t="str">
        <f t="shared" si="330"/>
        <v>нет</v>
      </c>
      <c r="BK198" s="5" t="str">
        <f>""</f>
        <v/>
      </c>
      <c r="BL198" s="5" t="str">
        <f>""</f>
        <v/>
      </c>
      <c r="BM198" s="5" t="str">
        <f>""</f>
        <v/>
      </c>
      <c r="BN198" s="5" t="str">
        <f t="shared" si="331"/>
        <v>нет</v>
      </c>
      <c r="BO198" s="5" t="str">
        <f>""</f>
        <v/>
      </c>
      <c r="BP198" s="5" t="str">
        <f>""</f>
        <v/>
      </c>
      <c r="BQ198" s="5" t="str">
        <f>""</f>
        <v/>
      </c>
      <c r="BR198" s="5" t="str">
        <f>"1988"</f>
        <v>1988</v>
      </c>
      <c r="BS198" s="5" t="str">
        <f>"35,00"</f>
        <v>35,00</v>
      </c>
      <c r="BT198" s="5" t="str">
        <f>"2022"</f>
        <v>2022</v>
      </c>
      <c r="BU198" s="5" t="str">
        <f t="shared" si="223"/>
        <v>нет</v>
      </c>
      <c r="BV198" s="5" t="str">
        <f t="shared" si="332"/>
        <v>x</v>
      </c>
      <c r="BW198" s="5" t="str">
        <f t="shared" si="332"/>
        <v>x</v>
      </c>
      <c r="BX198" s="5" t="str">
        <f t="shared" si="332"/>
        <v>x</v>
      </c>
      <c r="BY198" s="5" t="str">
        <f t="shared" si="280"/>
        <v>нет</v>
      </c>
      <c r="BZ198" s="5" t="str">
        <f t="shared" ref="BZ198:CB205" si="333">"x"</f>
        <v>x</v>
      </c>
      <c r="CA198" s="5" t="str">
        <f t="shared" si="333"/>
        <v>x</v>
      </c>
      <c r="CB198" s="5" t="str">
        <f t="shared" si="333"/>
        <v>x</v>
      </c>
      <c r="CC198" s="5" t="str">
        <f>"1988"</f>
        <v>1988</v>
      </c>
      <c r="CD198" s="5" t="str">
        <f>"15,00"</f>
        <v>15,00</v>
      </c>
      <c r="CE198" s="5" t="str">
        <f>"2025"</f>
        <v>2025</v>
      </c>
      <c r="CF198" s="5" t="str">
        <f>"1988"</f>
        <v>1988</v>
      </c>
      <c r="CG198" s="5" t="str">
        <f>"30,00"</f>
        <v>30,00</v>
      </c>
      <c r="CH198" s="5" t="str">
        <f>"2022"</f>
        <v>2022</v>
      </c>
      <c r="CI198" s="5" t="str">
        <f>"21,00"</f>
        <v>21,00</v>
      </c>
      <c r="CJ198" s="5" t="str">
        <f>"2028"</f>
        <v>2028</v>
      </c>
    </row>
    <row r="199" spans="1:88" ht="11.25" customHeight="1">
      <c r="A199" s="3" t="str">
        <f>"1.186"</f>
        <v>1.186</v>
      </c>
      <c r="B199" s="4" t="str">
        <f>"г. Грязовец, ул. Молодежная, д.12"</f>
        <v>г. Грязовец, ул. Молодежная, д.12</v>
      </c>
      <c r="C199" s="7" t="str">
        <f>"1977"</f>
        <v>1977</v>
      </c>
      <c r="D199" s="5" t="str">
        <f>"1977"</f>
        <v>1977</v>
      </c>
      <c r="E199" s="5" t="str">
        <f>"16,00"</f>
        <v>16,00</v>
      </c>
      <c r="F199" s="5" t="str">
        <f>"2028"</f>
        <v>2028</v>
      </c>
      <c r="G199" s="5" t="str">
        <f t="shared" si="316"/>
        <v>да</v>
      </c>
      <c r="H199" s="5" t="str">
        <f>""</f>
        <v/>
      </c>
      <c r="I199" s="5" t="str">
        <f>"10,00"</f>
        <v>10,00</v>
      </c>
      <c r="J199" s="5" t="str">
        <f>"2030"</f>
        <v>2030</v>
      </c>
      <c r="K199" s="5" t="str">
        <f t="shared" si="317"/>
        <v>да</v>
      </c>
      <c r="L199" s="5" t="str">
        <f>""</f>
        <v/>
      </c>
      <c r="M199" s="5" t="str">
        <f>"10,00"</f>
        <v>10,00</v>
      </c>
      <c r="N199" s="5" t="str">
        <f>"2030"</f>
        <v>2030</v>
      </c>
      <c r="O199" s="8" t="str">
        <f>"1977"</f>
        <v>1977</v>
      </c>
      <c r="P199" s="5" t="str">
        <f>"15,00"</f>
        <v>15,00</v>
      </c>
      <c r="Q199" s="5" t="str">
        <f>"2028"</f>
        <v>2028</v>
      </c>
      <c r="R199" s="5" t="str">
        <f t="shared" si="324"/>
        <v>нет</v>
      </c>
      <c r="S199" s="5" t="str">
        <f>""</f>
        <v/>
      </c>
      <c r="T199" s="5" t="str">
        <f>""</f>
        <v/>
      </c>
      <c r="U199" s="5" t="str">
        <f>""</f>
        <v/>
      </c>
      <c r="V199" s="5" t="str">
        <f t="shared" si="325"/>
        <v>нет</v>
      </c>
      <c r="W199" s="5" t="str">
        <f>""</f>
        <v/>
      </c>
      <c r="X199" s="5" t="str">
        <f>""</f>
        <v/>
      </c>
      <c r="Y199" s="9" t="str">
        <f>""</f>
        <v/>
      </c>
      <c r="Z199" s="5" t="str">
        <f>"1977"</f>
        <v>1977</v>
      </c>
      <c r="AA199" s="5" t="str">
        <f>"25,00"</f>
        <v>25,00</v>
      </c>
      <c r="AB199" s="5" t="str">
        <f>"2026"</f>
        <v>2026</v>
      </c>
      <c r="AC199" s="5" t="str">
        <f t="shared" si="318"/>
        <v>нет</v>
      </c>
      <c r="AD199" s="5" t="str">
        <f>""</f>
        <v/>
      </c>
      <c r="AE199" s="5" t="str">
        <f>""</f>
        <v/>
      </c>
      <c r="AF199" s="5" t="str">
        <f>""</f>
        <v/>
      </c>
      <c r="AG199" s="5" t="str">
        <f t="shared" si="319"/>
        <v>нет</v>
      </c>
      <c r="AH199" s="5" t="str">
        <f>""</f>
        <v/>
      </c>
      <c r="AI199" s="5" t="str">
        <f>""</f>
        <v/>
      </c>
      <c r="AJ199" s="5" t="str">
        <f>""</f>
        <v/>
      </c>
      <c r="AK199" s="8" t="str">
        <f>"1977"</f>
        <v>1977</v>
      </c>
      <c r="AL199" s="5" t="str">
        <f>"25,00"</f>
        <v>25,00</v>
      </c>
      <c r="AM199" s="5" t="str">
        <f>"2026"</f>
        <v>2026</v>
      </c>
      <c r="AN199" s="5" t="str">
        <f t="shared" si="326"/>
        <v>нет</v>
      </c>
      <c r="AO199" s="5" t="str">
        <f>""</f>
        <v/>
      </c>
      <c r="AP199" s="5" t="str">
        <f>""</f>
        <v/>
      </c>
      <c r="AQ199" s="5" t="str">
        <f>""</f>
        <v/>
      </c>
      <c r="AR199" s="5" t="str">
        <f t="shared" si="327"/>
        <v>нет</v>
      </c>
      <c r="AS199" s="5" t="str">
        <f>""</f>
        <v/>
      </c>
      <c r="AT199" s="5" t="str">
        <f>""</f>
        <v/>
      </c>
      <c r="AU199" s="5" t="str">
        <f>""</f>
        <v/>
      </c>
      <c r="AV199" s="5" t="str">
        <f t="shared" ref="AV199:BF199" si="334">"х"</f>
        <v>х</v>
      </c>
      <c r="AW199" s="5" t="str">
        <f t="shared" si="334"/>
        <v>х</v>
      </c>
      <c r="AX199" s="5" t="str">
        <f t="shared" si="334"/>
        <v>х</v>
      </c>
      <c r="AY199" s="5" t="str">
        <f t="shared" si="334"/>
        <v>х</v>
      </c>
      <c r="AZ199" s="5" t="str">
        <f t="shared" si="334"/>
        <v>х</v>
      </c>
      <c r="BA199" s="5" t="str">
        <f t="shared" si="334"/>
        <v>х</v>
      </c>
      <c r="BB199" s="5" t="str">
        <f t="shared" si="334"/>
        <v>х</v>
      </c>
      <c r="BC199" s="5" t="str">
        <f t="shared" si="334"/>
        <v>х</v>
      </c>
      <c r="BD199" s="5" t="str">
        <f t="shared" si="334"/>
        <v>х</v>
      </c>
      <c r="BE199" s="5" t="str">
        <f t="shared" si="334"/>
        <v>х</v>
      </c>
      <c r="BF199" s="5" t="str">
        <f t="shared" si="334"/>
        <v>х</v>
      </c>
      <c r="BG199" s="5" t="str">
        <f>"1977"</f>
        <v>1977</v>
      </c>
      <c r="BH199" s="5" t="str">
        <f>"25,00"</f>
        <v>25,00</v>
      </c>
      <c r="BI199" s="5" t="str">
        <f>"2026"</f>
        <v>2026</v>
      </c>
      <c r="BJ199" s="5" t="str">
        <f t="shared" si="330"/>
        <v>нет</v>
      </c>
      <c r="BK199" s="5" t="str">
        <f>""</f>
        <v/>
      </c>
      <c r="BL199" s="5" t="str">
        <f>""</f>
        <v/>
      </c>
      <c r="BM199" s="5" t="str">
        <f>""</f>
        <v/>
      </c>
      <c r="BN199" s="5" t="str">
        <f t="shared" si="331"/>
        <v>нет</v>
      </c>
      <c r="BO199" s="5" t="str">
        <f>""</f>
        <v/>
      </c>
      <c r="BP199" s="5" t="str">
        <f>""</f>
        <v/>
      </c>
      <c r="BQ199" s="5" t="str">
        <f>""</f>
        <v/>
      </c>
      <c r="BR199" s="5" t="str">
        <f>"1977"</f>
        <v>1977</v>
      </c>
      <c r="BS199" s="5" t="str">
        <f>"15,00"</f>
        <v>15,00</v>
      </c>
      <c r="BT199" s="5" t="str">
        <f>"2028"</f>
        <v>2028</v>
      </c>
      <c r="BU199" s="5" t="str">
        <f t="shared" si="223"/>
        <v>нет</v>
      </c>
      <c r="BV199" s="5" t="str">
        <f t="shared" si="332"/>
        <v>x</v>
      </c>
      <c r="BW199" s="5" t="str">
        <f t="shared" si="332"/>
        <v>x</v>
      </c>
      <c r="BX199" s="5" t="str">
        <f t="shared" si="332"/>
        <v>x</v>
      </c>
      <c r="BY199" s="5" t="str">
        <f t="shared" si="280"/>
        <v>нет</v>
      </c>
      <c r="BZ199" s="5" t="str">
        <f t="shared" si="333"/>
        <v>x</v>
      </c>
      <c r="CA199" s="5" t="str">
        <f t="shared" si="333"/>
        <v>x</v>
      </c>
      <c r="CB199" s="5" t="str">
        <f t="shared" si="333"/>
        <v>x</v>
      </c>
      <c r="CC199" s="5" t="str">
        <f>"1977"</f>
        <v>1977</v>
      </c>
      <c r="CD199" s="5" t="str">
        <f>"10,00"</f>
        <v>10,00</v>
      </c>
      <c r="CE199" s="5" t="str">
        <f>"2030"</f>
        <v>2030</v>
      </c>
      <c r="CF199" s="5" t="str">
        <f>"1977"</f>
        <v>1977</v>
      </c>
      <c r="CG199" s="5" t="str">
        <f>"20,00"</f>
        <v>20,00</v>
      </c>
      <c r="CH199" s="5" t="str">
        <f>"2030"</f>
        <v>2030</v>
      </c>
      <c r="CI199" s="5" t="str">
        <f>"11,00"</f>
        <v>11,00</v>
      </c>
      <c r="CJ199" s="5" t="str">
        <f>"2030"</f>
        <v>2030</v>
      </c>
    </row>
    <row r="200" spans="1:88" ht="11.25" customHeight="1">
      <c r="A200" s="3" t="str">
        <f>"1.187"</f>
        <v>1.187</v>
      </c>
      <c r="B200" s="4" t="str">
        <f>"г. Грязовец, ул. Молодежная, д.17"</f>
        <v>г. Грязовец, ул. Молодежная, д.17</v>
      </c>
      <c r="C200" s="7" t="str">
        <f>"1996"</f>
        <v>1996</v>
      </c>
      <c r="D200" s="5" t="str">
        <f>"1996"</f>
        <v>1996</v>
      </c>
      <c r="E200" s="5" t="str">
        <f>"15,00"</f>
        <v>15,00</v>
      </c>
      <c r="F200" s="5" t="str">
        <f>"2035"</f>
        <v>2035</v>
      </c>
      <c r="G200" s="5" t="str">
        <f t="shared" si="316"/>
        <v>да</v>
      </c>
      <c r="H200" s="5" t="str">
        <f>""</f>
        <v/>
      </c>
      <c r="I200" s="5" t="str">
        <f>"10,00"</f>
        <v>10,00</v>
      </c>
      <c r="J200" s="5" t="str">
        <f>"2035"</f>
        <v>2035</v>
      </c>
      <c r="K200" s="5" t="str">
        <f t="shared" si="317"/>
        <v>да</v>
      </c>
      <c r="L200" s="5" t="str">
        <f>""</f>
        <v/>
      </c>
      <c r="M200" s="5" t="str">
        <f>"10,00"</f>
        <v>10,00</v>
      </c>
      <c r="N200" s="5" t="str">
        <f>"2035"</f>
        <v>2035</v>
      </c>
      <c r="O200" s="8" t="str">
        <f>"1996"</f>
        <v>1996</v>
      </c>
      <c r="P200" s="5" t="str">
        <f>"15,00"</f>
        <v>15,00</v>
      </c>
      <c r="Q200" s="5" t="str">
        <f>"2035"</f>
        <v>2035</v>
      </c>
      <c r="R200" s="5" t="str">
        <f t="shared" si="324"/>
        <v>нет</v>
      </c>
      <c r="S200" s="5" t="str">
        <f>""</f>
        <v/>
      </c>
      <c r="T200" s="5" t="str">
        <f>""</f>
        <v/>
      </c>
      <c r="U200" s="5" t="str">
        <f>""</f>
        <v/>
      </c>
      <c r="V200" s="5" t="str">
        <f t="shared" si="325"/>
        <v>нет</v>
      </c>
      <c r="W200" s="5" t="str">
        <f>""</f>
        <v/>
      </c>
      <c r="X200" s="5" t="str">
        <f>""</f>
        <v/>
      </c>
      <c r="Y200" s="9" t="str">
        <f>""</f>
        <v/>
      </c>
      <c r="Z200" s="5" t="str">
        <f>"1996"</f>
        <v>1996</v>
      </c>
      <c r="AA200" s="5" t="str">
        <f>"15,00"</f>
        <v>15,00</v>
      </c>
      <c r="AB200" s="5" t="str">
        <f>"2035"</f>
        <v>2035</v>
      </c>
      <c r="AC200" s="5" t="str">
        <f t="shared" si="318"/>
        <v>нет</v>
      </c>
      <c r="AD200" s="5" t="str">
        <f>""</f>
        <v/>
      </c>
      <c r="AE200" s="5" t="str">
        <f>""</f>
        <v/>
      </c>
      <c r="AF200" s="5" t="str">
        <f>""</f>
        <v/>
      </c>
      <c r="AG200" s="5" t="str">
        <f t="shared" si="319"/>
        <v>нет</v>
      </c>
      <c r="AH200" s="5" t="str">
        <f>""</f>
        <v/>
      </c>
      <c r="AI200" s="5" t="str">
        <f>""</f>
        <v/>
      </c>
      <c r="AJ200" s="5" t="str">
        <f>""</f>
        <v/>
      </c>
      <c r="AK200" s="8" t="str">
        <f>"1996"</f>
        <v>1996</v>
      </c>
      <c r="AL200" s="5" t="str">
        <f>"15,00"</f>
        <v>15,00</v>
      </c>
      <c r="AM200" s="5" t="str">
        <f>"2035"</f>
        <v>2035</v>
      </c>
      <c r="AN200" s="5" t="str">
        <f t="shared" si="326"/>
        <v>нет</v>
      </c>
      <c r="AO200" s="5" t="str">
        <f>""</f>
        <v/>
      </c>
      <c r="AP200" s="5" t="str">
        <f>""</f>
        <v/>
      </c>
      <c r="AQ200" s="5" t="str">
        <f>""</f>
        <v/>
      </c>
      <c r="AR200" s="5" t="str">
        <f t="shared" si="327"/>
        <v>нет</v>
      </c>
      <c r="AS200" s="5" t="str">
        <f>""</f>
        <v/>
      </c>
      <c r="AT200" s="5" t="str">
        <f>""</f>
        <v/>
      </c>
      <c r="AU200" s="5" t="str">
        <f>""</f>
        <v/>
      </c>
      <c r="AV200" s="5" t="str">
        <f>"1996"</f>
        <v>1996</v>
      </c>
      <c r="AW200" s="5" t="str">
        <f>"15,00"</f>
        <v>15,00</v>
      </c>
      <c r="AX200" s="5" t="str">
        <f>"2035"</f>
        <v>2035</v>
      </c>
      <c r="AY200" s="5" t="str">
        <f>"нет"</f>
        <v>нет</v>
      </c>
      <c r="AZ200" s="5" t="str">
        <f>""</f>
        <v/>
      </c>
      <c r="BA200" s="5" t="str">
        <f>""</f>
        <v/>
      </c>
      <c r="BB200" s="5" t="str">
        <f>""</f>
        <v/>
      </c>
      <c r="BC200" s="5" t="str">
        <f>"нет"</f>
        <v>нет</v>
      </c>
      <c r="BD200" s="5" t="str">
        <f>""</f>
        <v/>
      </c>
      <c r="BE200" s="5" t="str">
        <f>""</f>
        <v/>
      </c>
      <c r="BF200" s="5" t="str">
        <f>""</f>
        <v/>
      </c>
      <c r="BG200" s="5" t="str">
        <f>"1996"</f>
        <v>1996</v>
      </c>
      <c r="BH200" s="5" t="str">
        <f>"15,00"</f>
        <v>15,00</v>
      </c>
      <c r="BI200" s="5" t="str">
        <f>"2035"</f>
        <v>2035</v>
      </c>
      <c r="BJ200" s="5" t="str">
        <f t="shared" si="330"/>
        <v>нет</v>
      </c>
      <c r="BK200" s="5" t="str">
        <f>""</f>
        <v/>
      </c>
      <c r="BL200" s="5" t="str">
        <f>""</f>
        <v/>
      </c>
      <c r="BM200" s="5" t="str">
        <f>""</f>
        <v/>
      </c>
      <c r="BN200" s="5" t="str">
        <f t="shared" si="331"/>
        <v>нет</v>
      </c>
      <c r="BO200" s="5" t="str">
        <f>""</f>
        <v/>
      </c>
      <c r="BP200" s="5" t="str">
        <f>""</f>
        <v/>
      </c>
      <c r="BQ200" s="5" t="str">
        <f>""</f>
        <v/>
      </c>
      <c r="BR200" s="5" t="str">
        <f>"1996"</f>
        <v>1996</v>
      </c>
      <c r="BS200" s="5" t="str">
        <f>"20,00"</f>
        <v>20,00</v>
      </c>
      <c r="BT200" s="5" t="str">
        <f>"2033"</f>
        <v>2033</v>
      </c>
      <c r="BU200" s="5" t="str">
        <f t="shared" si="223"/>
        <v>нет</v>
      </c>
      <c r="BV200" s="5" t="str">
        <f t="shared" si="332"/>
        <v>x</v>
      </c>
      <c r="BW200" s="5" t="str">
        <f t="shared" si="332"/>
        <v>x</v>
      </c>
      <c r="BX200" s="5" t="str">
        <f t="shared" si="332"/>
        <v>x</v>
      </c>
      <c r="BY200" s="5" t="str">
        <f t="shared" si="280"/>
        <v>нет</v>
      </c>
      <c r="BZ200" s="5" t="str">
        <f t="shared" si="333"/>
        <v>x</v>
      </c>
      <c r="CA200" s="5" t="str">
        <f t="shared" si="333"/>
        <v>x</v>
      </c>
      <c r="CB200" s="5" t="str">
        <f t="shared" si="333"/>
        <v>x</v>
      </c>
      <c r="CC200" s="5" t="str">
        <f>"1996"</f>
        <v>1996</v>
      </c>
      <c r="CD200" s="5" t="str">
        <f>"5,00"</f>
        <v>5,00</v>
      </c>
      <c r="CE200" s="5" t="str">
        <f>"2035"</f>
        <v>2035</v>
      </c>
      <c r="CF200" s="5" t="str">
        <f>"1996"</f>
        <v>1996</v>
      </c>
      <c r="CG200" s="5" t="str">
        <f>"25,00"</f>
        <v>25,00</v>
      </c>
      <c r="CH200" s="5" t="str">
        <f>"2033"</f>
        <v>2033</v>
      </c>
      <c r="CI200" s="5" t="str">
        <f>"11,00"</f>
        <v>11,00</v>
      </c>
      <c r="CJ200" s="5" t="str">
        <f>"2035"</f>
        <v>2035</v>
      </c>
    </row>
    <row r="201" spans="1:88" ht="11.25" customHeight="1">
      <c r="A201" s="3" t="str">
        <f>"1.188"</f>
        <v>1.188</v>
      </c>
      <c r="B201" s="4" t="str">
        <f>"г. Грязовец, ул. Молодежная, д.2"</f>
        <v>г. Грязовец, ул. Молодежная, д.2</v>
      </c>
      <c r="C201" s="7" t="str">
        <f>"1996"</f>
        <v>1996</v>
      </c>
      <c r="D201" s="5" t="str">
        <f>"1996"</f>
        <v>1996</v>
      </c>
      <c r="E201" s="5" t="str">
        <f>"18,00"</f>
        <v>18,00</v>
      </c>
      <c r="F201" s="5" t="str">
        <f>"2035"</f>
        <v>2035</v>
      </c>
      <c r="G201" s="5" t="str">
        <f t="shared" si="316"/>
        <v>да</v>
      </c>
      <c r="H201" s="5" t="str">
        <f>""</f>
        <v/>
      </c>
      <c r="I201" s="5" t="str">
        <f>"15,00"</f>
        <v>15,00</v>
      </c>
      <c r="J201" s="5" t="str">
        <f>"2035"</f>
        <v>2035</v>
      </c>
      <c r="K201" s="5" t="str">
        <f t="shared" si="317"/>
        <v>да</v>
      </c>
      <c r="L201" s="5" t="str">
        <f>""</f>
        <v/>
      </c>
      <c r="M201" s="5" t="str">
        <f>"15,00"</f>
        <v>15,00</v>
      </c>
      <c r="N201" s="5" t="str">
        <f>"2035"</f>
        <v>2035</v>
      </c>
      <c r="O201" s="8" t="str">
        <f t="shared" ref="O201:AT201" si="335">"х"</f>
        <v>х</v>
      </c>
      <c r="P201" s="5" t="str">
        <f t="shared" si="335"/>
        <v>х</v>
      </c>
      <c r="Q201" s="5" t="str">
        <f t="shared" si="335"/>
        <v>х</v>
      </c>
      <c r="R201" s="5" t="str">
        <f t="shared" si="335"/>
        <v>х</v>
      </c>
      <c r="S201" s="5" t="str">
        <f t="shared" si="335"/>
        <v>х</v>
      </c>
      <c r="T201" s="5" t="str">
        <f t="shared" si="335"/>
        <v>х</v>
      </c>
      <c r="U201" s="5" t="str">
        <f t="shared" si="335"/>
        <v>х</v>
      </c>
      <c r="V201" s="5" t="str">
        <f t="shared" si="335"/>
        <v>х</v>
      </c>
      <c r="W201" s="5" t="str">
        <f t="shared" si="335"/>
        <v>х</v>
      </c>
      <c r="X201" s="5" t="str">
        <f t="shared" si="335"/>
        <v>х</v>
      </c>
      <c r="Y201" s="9" t="str">
        <f t="shared" si="335"/>
        <v>х</v>
      </c>
      <c r="Z201" s="5" t="str">
        <f t="shared" si="335"/>
        <v>х</v>
      </c>
      <c r="AA201" s="5" t="str">
        <f t="shared" si="335"/>
        <v>х</v>
      </c>
      <c r="AB201" s="5" t="str">
        <f t="shared" si="335"/>
        <v>х</v>
      </c>
      <c r="AC201" s="5" t="str">
        <f t="shared" si="335"/>
        <v>х</v>
      </c>
      <c r="AD201" s="5" t="str">
        <f t="shared" si="335"/>
        <v>х</v>
      </c>
      <c r="AE201" s="5" t="str">
        <f t="shared" si="335"/>
        <v>х</v>
      </c>
      <c r="AF201" s="5" t="str">
        <f t="shared" si="335"/>
        <v>х</v>
      </c>
      <c r="AG201" s="5" t="str">
        <f t="shared" si="335"/>
        <v>х</v>
      </c>
      <c r="AH201" s="5" t="str">
        <f t="shared" si="335"/>
        <v>х</v>
      </c>
      <c r="AI201" s="5" t="str">
        <f t="shared" si="335"/>
        <v>х</v>
      </c>
      <c r="AJ201" s="5" t="str">
        <f t="shared" si="335"/>
        <v>х</v>
      </c>
      <c r="AK201" s="8" t="str">
        <f t="shared" si="335"/>
        <v>х</v>
      </c>
      <c r="AL201" s="5" t="str">
        <f t="shared" si="335"/>
        <v>х</v>
      </c>
      <c r="AM201" s="5" t="str">
        <f t="shared" si="335"/>
        <v>х</v>
      </c>
      <c r="AN201" s="5" t="str">
        <f t="shared" si="335"/>
        <v>х</v>
      </c>
      <c r="AO201" s="5" t="str">
        <f t="shared" si="335"/>
        <v>х</v>
      </c>
      <c r="AP201" s="5" t="str">
        <f t="shared" si="335"/>
        <v>х</v>
      </c>
      <c r="AQ201" s="5" t="str">
        <f t="shared" si="335"/>
        <v>х</v>
      </c>
      <c r="AR201" s="5" t="str">
        <f t="shared" si="335"/>
        <v>х</v>
      </c>
      <c r="AS201" s="5" t="str">
        <f t="shared" si="335"/>
        <v>х</v>
      </c>
      <c r="AT201" s="5" t="str">
        <f t="shared" si="335"/>
        <v>х</v>
      </c>
      <c r="AU201" s="5" t="str">
        <f t="shared" ref="AU201:BQ201" si="336">"х"</f>
        <v>х</v>
      </c>
      <c r="AV201" s="5" t="str">
        <f t="shared" si="336"/>
        <v>х</v>
      </c>
      <c r="AW201" s="5" t="str">
        <f t="shared" si="336"/>
        <v>х</v>
      </c>
      <c r="AX201" s="5" t="str">
        <f t="shared" si="336"/>
        <v>х</v>
      </c>
      <c r="AY201" s="5" t="str">
        <f t="shared" si="336"/>
        <v>х</v>
      </c>
      <c r="AZ201" s="5" t="str">
        <f t="shared" si="336"/>
        <v>х</v>
      </c>
      <c r="BA201" s="5" t="str">
        <f t="shared" si="336"/>
        <v>х</v>
      </c>
      <c r="BB201" s="5" t="str">
        <f t="shared" si="336"/>
        <v>х</v>
      </c>
      <c r="BC201" s="5" t="str">
        <f t="shared" si="336"/>
        <v>х</v>
      </c>
      <c r="BD201" s="5" t="str">
        <f t="shared" si="336"/>
        <v>х</v>
      </c>
      <c r="BE201" s="5" t="str">
        <f t="shared" si="336"/>
        <v>х</v>
      </c>
      <c r="BF201" s="5" t="str">
        <f t="shared" si="336"/>
        <v>х</v>
      </c>
      <c r="BG201" s="5" t="str">
        <f t="shared" si="336"/>
        <v>х</v>
      </c>
      <c r="BH201" s="5" t="str">
        <f t="shared" si="336"/>
        <v>х</v>
      </c>
      <c r="BI201" s="5" t="str">
        <f t="shared" si="336"/>
        <v>х</v>
      </c>
      <c r="BJ201" s="5" t="str">
        <f t="shared" si="336"/>
        <v>х</v>
      </c>
      <c r="BK201" s="5" t="str">
        <f t="shared" si="336"/>
        <v>х</v>
      </c>
      <c r="BL201" s="5" t="str">
        <f t="shared" si="336"/>
        <v>х</v>
      </c>
      <c r="BM201" s="5" t="str">
        <f t="shared" si="336"/>
        <v>х</v>
      </c>
      <c r="BN201" s="5" t="str">
        <f t="shared" si="336"/>
        <v>х</v>
      </c>
      <c r="BO201" s="5" t="str">
        <f t="shared" si="336"/>
        <v>х</v>
      </c>
      <c r="BP201" s="5" t="str">
        <f t="shared" si="336"/>
        <v>х</v>
      </c>
      <c r="BQ201" s="5" t="str">
        <f t="shared" si="336"/>
        <v>х</v>
      </c>
      <c r="BR201" s="5" t="str">
        <f>"1996"</f>
        <v>1996</v>
      </c>
      <c r="BS201" s="5" t="str">
        <f>"20,00"</f>
        <v>20,00</v>
      </c>
      <c r="BT201" s="5" t="str">
        <f>"2033"</f>
        <v>2033</v>
      </c>
      <c r="BU201" s="5" t="str">
        <f t="shared" si="223"/>
        <v>нет</v>
      </c>
      <c r="BV201" s="5" t="str">
        <f t="shared" si="332"/>
        <v>x</v>
      </c>
      <c r="BW201" s="5" t="str">
        <f t="shared" si="332"/>
        <v>x</v>
      </c>
      <c r="BX201" s="5" t="str">
        <f t="shared" si="332"/>
        <v>x</v>
      </c>
      <c r="BY201" s="5" t="str">
        <f t="shared" si="280"/>
        <v>нет</v>
      </c>
      <c r="BZ201" s="5" t="str">
        <f t="shared" si="333"/>
        <v>x</v>
      </c>
      <c r="CA201" s="5" t="str">
        <f t="shared" si="333"/>
        <v>x</v>
      </c>
      <c r="CB201" s="5" t="str">
        <f t="shared" si="333"/>
        <v>x</v>
      </c>
      <c r="CC201" s="5" t="str">
        <f>"1996"</f>
        <v>1996</v>
      </c>
      <c r="CD201" s="5" t="str">
        <f>"5,00"</f>
        <v>5,00</v>
      </c>
      <c r="CE201" s="5" t="str">
        <f>"2035"</f>
        <v>2035</v>
      </c>
      <c r="CF201" s="5" t="str">
        <f>"1996"</f>
        <v>1996</v>
      </c>
      <c r="CG201" s="5" t="str">
        <f>"15,00"</f>
        <v>15,00</v>
      </c>
      <c r="CH201" s="5" t="str">
        <f>"2035"</f>
        <v>2035</v>
      </c>
      <c r="CI201" s="5" t="str">
        <f>"15,00"</f>
        <v>15,00</v>
      </c>
      <c r="CJ201" s="5" t="str">
        <f>"2035"</f>
        <v>2035</v>
      </c>
    </row>
    <row r="202" spans="1:88" ht="11.25" customHeight="1">
      <c r="A202" s="3" t="str">
        <f>"1.189"</f>
        <v>1.189</v>
      </c>
      <c r="B202" s="4" t="str">
        <f>"г. Грязовец, ул. Молодежная, д.3"</f>
        <v>г. Грязовец, ул. Молодежная, д.3</v>
      </c>
      <c r="C202" s="7" t="str">
        <f>"1991"</f>
        <v>1991</v>
      </c>
      <c r="D202" s="5" t="str">
        <f>"1991"</f>
        <v>1991</v>
      </c>
      <c r="E202" s="5" t="str">
        <f>"18,00"</f>
        <v>18,00</v>
      </c>
      <c r="F202" s="5" t="str">
        <f>"2035"</f>
        <v>2035</v>
      </c>
      <c r="G202" s="5" t="str">
        <f t="shared" si="316"/>
        <v>да</v>
      </c>
      <c r="H202" s="5" t="str">
        <f>""</f>
        <v/>
      </c>
      <c r="I202" s="5" t="str">
        <f>"15,00"</f>
        <v>15,00</v>
      </c>
      <c r="J202" s="5" t="str">
        <f>"2035"</f>
        <v>2035</v>
      </c>
      <c r="K202" s="5" t="str">
        <f t="shared" si="317"/>
        <v>да</v>
      </c>
      <c r="L202" s="5" t="str">
        <f>""</f>
        <v/>
      </c>
      <c r="M202" s="5" t="str">
        <f>"15,00"</f>
        <v>15,00</v>
      </c>
      <c r="N202" s="5" t="str">
        <f>"2035"</f>
        <v>2035</v>
      </c>
      <c r="O202" s="8" t="str">
        <f>"1991"</f>
        <v>1991</v>
      </c>
      <c r="P202" s="5" t="str">
        <f>"18,00"</f>
        <v>18,00</v>
      </c>
      <c r="Q202" s="5" t="str">
        <f>"2035"</f>
        <v>2035</v>
      </c>
      <c r="R202" s="5" t="str">
        <f>"нет"</f>
        <v>нет</v>
      </c>
      <c r="S202" s="5" t="str">
        <f>""</f>
        <v/>
      </c>
      <c r="T202" s="5" t="str">
        <f>""</f>
        <v/>
      </c>
      <c r="U202" s="5" t="str">
        <f>""</f>
        <v/>
      </c>
      <c r="V202" s="5" t="str">
        <f>"нет"</f>
        <v>нет</v>
      </c>
      <c r="W202" s="5" t="str">
        <f>""</f>
        <v/>
      </c>
      <c r="X202" s="5" t="str">
        <f>""</f>
        <v/>
      </c>
      <c r="Y202" s="9" t="str">
        <f>""</f>
        <v/>
      </c>
      <c r="Z202" s="5" t="str">
        <f>"1991"</f>
        <v>1991</v>
      </c>
      <c r="AA202" s="5" t="str">
        <f>"20,00"</f>
        <v>20,00</v>
      </c>
      <c r="AB202" s="5" t="str">
        <f>"2033"</f>
        <v>2033</v>
      </c>
      <c r="AC202" s="5" t="str">
        <f>"нет"</f>
        <v>нет</v>
      </c>
      <c r="AD202" s="5" t="str">
        <f>""</f>
        <v/>
      </c>
      <c r="AE202" s="5" t="str">
        <f>""</f>
        <v/>
      </c>
      <c r="AF202" s="5" t="str">
        <f>""</f>
        <v/>
      </c>
      <c r="AG202" s="5" t="str">
        <f>"нет"</f>
        <v>нет</v>
      </c>
      <c r="AH202" s="5" t="str">
        <f>""</f>
        <v/>
      </c>
      <c r="AI202" s="5" t="str">
        <f>""</f>
        <v/>
      </c>
      <c r="AJ202" s="5" t="str">
        <f>""</f>
        <v/>
      </c>
      <c r="AK202" s="8" t="str">
        <f>"1991"</f>
        <v>1991</v>
      </c>
      <c r="AL202" s="5" t="str">
        <f>"15,00"</f>
        <v>15,00</v>
      </c>
      <c r="AM202" s="5" t="str">
        <f>"2035"</f>
        <v>2035</v>
      </c>
      <c r="AN202" s="5" t="str">
        <f>"нет"</f>
        <v>нет</v>
      </c>
      <c r="AO202" s="5" t="str">
        <f>""</f>
        <v/>
      </c>
      <c r="AP202" s="5" t="str">
        <f>""</f>
        <v/>
      </c>
      <c r="AQ202" s="5" t="str">
        <f>""</f>
        <v/>
      </c>
      <c r="AR202" s="5" t="str">
        <f>"нет"</f>
        <v>нет</v>
      </c>
      <c r="AS202" s="5" t="str">
        <f>""</f>
        <v/>
      </c>
      <c r="AT202" s="5" t="str">
        <f>""</f>
        <v/>
      </c>
      <c r="AU202" s="5" t="str">
        <f>""</f>
        <v/>
      </c>
      <c r="AV202" s="5" t="str">
        <f t="shared" ref="AV202:BF203" si="337">"х"</f>
        <v>х</v>
      </c>
      <c r="AW202" s="5" t="str">
        <f t="shared" si="337"/>
        <v>х</v>
      </c>
      <c r="AX202" s="5" t="str">
        <f t="shared" si="337"/>
        <v>х</v>
      </c>
      <c r="AY202" s="5" t="str">
        <f t="shared" si="337"/>
        <v>х</v>
      </c>
      <c r="AZ202" s="5" t="str">
        <f t="shared" si="337"/>
        <v>х</v>
      </c>
      <c r="BA202" s="5" t="str">
        <f t="shared" si="337"/>
        <v>х</v>
      </c>
      <c r="BB202" s="5" t="str">
        <f t="shared" si="337"/>
        <v>х</v>
      </c>
      <c r="BC202" s="5" t="str">
        <f t="shared" si="337"/>
        <v>х</v>
      </c>
      <c r="BD202" s="5" t="str">
        <f t="shared" si="337"/>
        <v>х</v>
      </c>
      <c r="BE202" s="5" t="str">
        <f t="shared" si="337"/>
        <v>х</v>
      </c>
      <c r="BF202" s="5" t="str">
        <f t="shared" si="337"/>
        <v>х</v>
      </c>
      <c r="BG202" s="5" t="str">
        <f>"1991"</f>
        <v>1991</v>
      </c>
      <c r="BH202" s="5" t="str">
        <f>"15,00"</f>
        <v>15,00</v>
      </c>
      <c r="BI202" s="5" t="str">
        <f>"2035"</f>
        <v>2035</v>
      </c>
      <c r="BJ202" s="5" t="str">
        <f>"нет"</f>
        <v>нет</v>
      </c>
      <c r="BK202" s="5" t="str">
        <f>""</f>
        <v/>
      </c>
      <c r="BL202" s="5" t="str">
        <f>""</f>
        <v/>
      </c>
      <c r="BM202" s="5" t="str">
        <f>""</f>
        <v/>
      </c>
      <c r="BN202" s="5" t="str">
        <f>"нет"</f>
        <v>нет</v>
      </c>
      <c r="BO202" s="5" t="str">
        <f>""</f>
        <v/>
      </c>
      <c r="BP202" s="5" t="str">
        <f>""</f>
        <v/>
      </c>
      <c r="BQ202" s="5" t="str">
        <f>""</f>
        <v/>
      </c>
      <c r="BR202" s="5" t="str">
        <f>"1991"</f>
        <v>1991</v>
      </c>
      <c r="BS202" s="5" t="str">
        <f>"20,00"</f>
        <v>20,00</v>
      </c>
      <c r="BT202" s="5" t="str">
        <f>"2033"</f>
        <v>2033</v>
      </c>
      <c r="BU202" s="5" t="str">
        <f t="shared" si="223"/>
        <v>нет</v>
      </c>
      <c r="BV202" s="5" t="str">
        <f t="shared" si="332"/>
        <v>x</v>
      </c>
      <c r="BW202" s="5" t="str">
        <f t="shared" si="332"/>
        <v>x</v>
      </c>
      <c r="BX202" s="5" t="str">
        <f t="shared" si="332"/>
        <v>x</v>
      </c>
      <c r="BY202" s="5" t="str">
        <f t="shared" si="280"/>
        <v>нет</v>
      </c>
      <c r="BZ202" s="5" t="str">
        <f t="shared" si="333"/>
        <v>x</v>
      </c>
      <c r="CA202" s="5" t="str">
        <f t="shared" si="333"/>
        <v>x</v>
      </c>
      <c r="CB202" s="5" t="str">
        <f t="shared" si="333"/>
        <v>x</v>
      </c>
      <c r="CC202" s="5" t="str">
        <f>"1991"</f>
        <v>1991</v>
      </c>
      <c r="CD202" s="5" t="str">
        <f>"10,00"</f>
        <v>10,00</v>
      </c>
      <c r="CE202" s="5" t="str">
        <f>"2035"</f>
        <v>2035</v>
      </c>
      <c r="CF202" s="5" t="str">
        <f>"1991"</f>
        <v>1991</v>
      </c>
      <c r="CG202" s="5" t="str">
        <f>"25,00"</f>
        <v>25,00</v>
      </c>
      <c r="CH202" s="5" t="str">
        <f>"2033"</f>
        <v>2033</v>
      </c>
      <c r="CI202" s="5" t="str">
        <f>"15,00"</f>
        <v>15,00</v>
      </c>
      <c r="CJ202" s="5" t="str">
        <f>"2035"</f>
        <v>2035</v>
      </c>
    </row>
    <row r="203" spans="1:88" ht="11.25" customHeight="1">
      <c r="A203" s="3" t="str">
        <f>"1.190"</f>
        <v>1.190</v>
      </c>
      <c r="B203" s="4" t="str">
        <f>"г. Грязовец, ул. Молодежная, д.9"</f>
        <v>г. Грязовец, ул. Молодежная, д.9</v>
      </c>
      <c r="C203" s="7" t="str">
        <f>"1986"</f>
        <v>1986</v>
      </c>
      <c r="D203" s="5" t="str">
        <f>"1986"</f>
        <v>1986</v>
      </c>
      <c r="E203" s="5" t="str">
        <f>"20,00"</f>
        <v>20,00</v>
      </c>
      <c r="F203" s="5" t="str">
        <f>"2035"</f>
        <v>2035</v>
      </c>
      <c r="G203" s="5" t="str">
        <f t="shared" si="316"/>
        <v>да</v>
      </c>
      <c r="H203" s="5" t="str">
        <f>""</f>
        <v/>
      </c>
      <c r="I203" s="5" t="str">
        <f>"15,00"</f>
        <v>15,00</v>
      </c>
      <c r="J203" s="5" t="str">
        <f>"2035"</f>
        <v>2035</v>
      </c>
      <c r="K203" s="5" t="str">
        <f t="shared" si="317"/>
        <v>да</v>
      </c>
      <c r="L203" s="5" t="str">
        <f>""</f>
        <v/>
      </c>
      <c r="M203" s="5" t="str">
        <f>"15,00"</f>
        <v>15,00</v>
      </c>
      <c r="N203" s="5" t="str">
        <f>"2035"</f>
        <v>2035</v>
      </c>
      <c r="O203" s="8" t="str">
        <f>"1986"</f>
        <v>1986</v>
      </c>
      <c r="P203" s="5" t="str">
        <f>"19,00"</f>
        <v>19,00</v>
      </c>
      <c r="Q203" s="5" t="str">
        <f>"2035"</f>
        <v>2035</v>
      </c>
      <c r="R203" s="5" t="str">
        <f>"нет"</f>
        <v>нет</v>
      </c>
      <c r="S203" s="5" t="str">
        <f>""</f>
        <v/>
      </c>
      <c r="T203" s="5" t="str">
        <f>""</f>
        <v/>
      </c>
      <c r="U203" s="5" t="str">
        <f>""</f>
        <v/>
      </c>
      <c r="V203" s="5" t="str">
        <f>"нет"</f>
        <v>нет</v>
      </c>
      <c r="W203" s="5" t="str">
        <f>""</f>
        <v/>
      </c>
      <c r="X203" s="5" t="str">
        <f>""</f>
        <v/>
      </c>
      <c r="Y203" s="9" t="str">
        <f>""</f>
        <v/>
      </c>
      <c r="Z203" s="5" t="str">
        <f>"1986"</f>
        <v>1986</v>
      </c>
      <c r="AA203" s="5" t="str">
        <f>"20,00"</f>
        <v>20,00</v>
      </c>
      <c r="AB203" s="5" t="str">
        <f>"2035"</f>
        <v>2035</v>
      </c>
      <c r="AC203" s="5" t="str">
        <f>"нет"</f>
        <v>нет</v>
      </c>
      <c r="AD203" s="5" t="str">
        <f>""</f>
        <v/>
      </c>
      <c r="AE203" s="5" t="str">
        <f>""</f>
        <v/>
      </c>
      <c r="AF203" s="5" t="str">
        <f>""</f>
        <v/>
      </c>
      <c r="AG203" s="5" t="str">
        <f>"нет"</f>
        <v>нет</v>
      </c>
      <c r="AH203" s="5" t="str">
        <f>""</f>
        <v/>
      </c>
      <c r="AI203" s="5" t="str">
        <f>""</f>
        <v/>
      </c>
      <c r="AJ203" s="5" t="str">
        <f>""</f>
        <v/>
      </c>
      <c r="AK203" s="8" t="str">
        <f>"1986"</f>
        <v>1986</v>
      </c>
      <c r="AL203" s="5" t="str">
        <f>"18,00"</f>
        <v>18,00</v>
      </c>
      <c r="AM203" s="5" t="str">
        <f>"2035"</f>
        <v>2035</v>
      </c>
      <c r="AN203" s="5" t="str">
        <f>"нет"</f>
        <v>нет</v>
      </c>
      <c r="AO203" s="5" t="str">
        <f>""</f>
        <v/>
      </c>
      <c r="AP203" s="5" t="str">
        <f>""</f>
        <v/>
      </c>
      <c r="AQ203" s="5" t="str">
        <f>""</f>
        <v/>
      </c>
      <c r="AR203" s="5" t="str">
        <f>"нет"</f>
        <v>нет</v>
      </c>
      <c r="AS203" s="5" t="str">
        <f>""</f>
        <v/>
      </c>
      <c r="AT203" s="5" t="str">
        <f>""</f>
        <v/>
      </c>
      <c r="AU203" s="5" t="str">
        <f>""</f>
        <v/>
      </c>
      <c r="AV203" s="5" t="str">
        <f t="shared" si="337"/>
        <v>х</v>
      </c>
      <c r="AW203" s="5" t="str">
        <f t="shared" si="337"/>
        <v>х</v>
      </c>
      <c r="AX203" s="5" t="str">
        <f t="shared" si="337"/>
        <v>х</v>
      </c>
      <c r="AY203" s="5" t="str">
        <f t="shared" si="337"/>
        <v>х</v>
      </c>
      <c r="AZ203" s="5" t="str">
        <f t="shared" si="337"/>
        <v>х</v>
      </c>
      <c r="BA203" s="5" t="str">
        <f t="shared" si="337"/>
        <v>х</v>
      </c>
      <c r="BB203" s="5" t="str">
        <f t="shared" si="337"/>
        <v>х</v>
      </c>
      <c r="BC203" s="5" t="str">
        <f t="shared" si="337"/>
        <v>х</v>
      </c>
      <c r="BD203" s="5" t="str">
        <f t="shared" si="337"/>
        <v>х</v>
      </c>
      <c r="BE203" s="5" t="str">
        <f t="shared" si="337"/>
        <v>х</v>
      </c>
      <c r="BF203" s="5" t="str">
        <f t="shared" si="337"/>
        <v>х</v>
      </c>
      <c r="BG203" s="5" t="str">
        <f>"1986"</f>
        <v>1986</v>
      </c>
      <c r="BH203" s="5" t="str">
        <f>"18,00"</f>
        <v>18,00</v>
      </c>
      <c r="BI203" s="5" t="str">
        <f>"2035"</f>
        <v>2035</v>
      </c>
      <c r="BJ203" s="5" t="str">
        <f>"нет"</f>
        <v>нет</v>
      </c>
      <c r="BK203" s="5" t="str">
        <f>""</f>
        <v/>
      </c>
      <c r="BL203" s="5" t="str">
        <f>""</f>
        <v/>
      </c>
      <c r="BM203" s="5" t="str">
        <f>""</f>
        <v/>
      </c>
      <c r="BN203" s="5" t="str">
        <f>"нет"</f>
        <v>нет</v>
      </c>
      <c r="BO203" s="5" t="str">
        <f>""</f>
        <v/>
      </c>
      <c r="BP203" s="5" t="str">
        <f>""</f>
        <v/>
      </c>
      <c r="BQ203" s="5" t="str">
        <f>""</f>
        <v/>
      </c>
      <c r="BR203" s="5" t="str">
        <f>"1986"</f>
        <v>1986</v>
      </c>
      <c r="BS203" s="5" t="str">
        <f>"20,00"</f>
        <v>20,00</v>
      </c>
      <c r="BT203" s="5" t="str">
        <f>"2035"</f>
        <v>2035</v>
      </c>
      <c r="BU203" s="5" t="str">
        <f t="shared" si="223"/>
        <v>нет</v>
      </c>
      <c r="BV203" s="5" t="str">
        <f t="shared" si="332"/>
        <v>x</v>
      </c>
      <c r="BW203" s="5" t="str">
        <f t="shared" si="332"/>
        <v>x</v>
      </c>
      <c r="BX203" s="5" t="str">
        <f t="shared" si="332"/>
        <v>x</v>
      </c>
      <c r="BY203" s="5" t="str">
        <f t="shared" si="280"/>
        <v>нет</v>
      </c>
      <c r="BZ203" s="5" t="str">
        <f t="shared" si="333"/>
        <v>x</v>
      </c>
      <c r="CA203" s="5" t="str">
        <f t="shared" si="333"/>
        <v>x</v>
      </c>
      <c r="CB203" s="5" t="str">
        <f t="shared" si="333"/>
        <v>x</v>
      </c>
      <c r="CC203" s="5" t="str">
        <f>"1986"</f>
        <v>1986</v>
      </c>
      <c r="CD203" s="5" t="str">
        <f>"12,00"</f>
        <v>12,00</v>
      </c>
      <c r="CE203" s="5" t="str">
        <f>"2035"</f>
        <v>2035</v>
      </c>
      <c r="CF203" s="5" t="str">
        <f>"1986"</f>
        <v>1986</v>
      </c>
      <c r="CG203" s="5" t="str">
        <f>"20,00"</f>
        <v>20,00</v>
      </c>
      <c r="CH203" s="5" t="str">
        <f>"2035"</f>
        <v>2035</v>
      </c>
      <c r="CI203" s="5" t="str">
        <f>"18,00"</f>
        <v>18,00</v>
      </c>
      <c r="CJ203" s="5" t="str">
        <f>"2035"</f>
        <v>2035</v>
      </c>
    </row>
    <row r="204" spans="1:88" ht="11.25" customHeight="1">
      <c r="A204" s="3" t="str">
        <f>"1.191"</f>
        <v>1.191</v>
      </c>
      <c r="B204" s="4" t="str">
        <f>"г. Грязовец, ул. Новая, д.3"</f>
        <v>г. Грязовец, ул. Новая, д.3</v>
      </c>
      <c r="C204" s="7" t="str">
        <f>"1978"</f>
        <v>1978</v>
      </c>
      <c r="D204" s="5" t="str">
        <f>"1978"</f>
        <v>1978</v>
      </c>
      <c r="E204" s="5" t="str">
        <f>"30,00"</f>
        <v>30,00</v>
      </c>
      <c r="F204" s="5" t="str">
        <f>"2025"</f>
        <v>2025</v>
      </c>
      <c r="G204" s="5" t="str">
        <f t="shared" si="316"/>
        <v>да</v>
      </c>
      <c r="H204" s="5" t="str">
        <f>""</f>
        <v/>
      </c>
      <c r="I204" s="5" t="str">
        <f>"25,00"</f>
        <v>25,00</v>
      </c>
      <c r="J204" s="5" t="str">
        <f>"2025"</f>
        <v>2025</v>
      </c>
      <c r="K204" s="5" t="str">
        <f t="shared" si="317"/>
        <v>да</v>
      </c>
      <c r="L204" s="5" t="str">
        <f>""</f>
        <v/>
      </c>
      <c r="M204" s="5" t="str">
        <f>"25,00"</f>
        <v>25,00</v>
      </c>
      <c r="N204" s="5" t="str">
        <f>"2025"</f>
        <v>2025</v>
      </c>
      <c r="O204" s="8" t="str">
        <f>"1978"</f>
        <v>1978</v>
      </c>
      <c r="P204" s="5" t="str">
        <f>"30,00"</f>
        <v>30,00</v>
      </c>
      <c r="Q204" s="5" t="str">
        <f>"2025"</f>
        <v>2025</v>
      </c>
      <c r="R204" s="5" t="str">
        <f>"нет"</f>
        <v>нет</v>
      </c>
      <c r="S204" s="5" t="str">
        <f>""</f>
        <v/>
      </c>
      <c r="T204" s="5" t="str">
        <f>""</f>
        <v/>
      </c>
      <c r="U204" s="5" t="str">
        <f>""</f>
        <v/>
      </c>
      <c r="V204" s="5" t="str">
        <f>"нет"</f>
        <v>нет</v>
      </c>
      <c r="W204" s="5" t="str">
        <f>""</f>
        <v/>
      </c>
      <c r="X204" s="5" t="str">
        <f>""</f>
        <v/>
      </c>
      <c r="Y204" s="9" t="str">
        <f>""</f>
        <v/>
      </c>
      <c r="Z204" s="5" t="str">
        <f>"1978"</f>
        <v>1978</v>
      </c>
      <c r="AA204" s="5" t="str">
        <f>"25,00"</f>
        <v>25,00</v>
      </c>
      <c r="AB204" s="5" t="str">
        <f>"2025"</f>
        <v>2025</v>
      </c>
      <c r="AC204" s="5" t="str">
        <f>"нет"</f>
        <v>нет</v>
      </c>
      <c r="AD204" s="5" t="str">
        <f>""</f>
        <v/>
      </c>
      <c r="AE204" s="5" t="str">
        <f>""</f>
        <v/>
      </c>
      <c r="AF204" s="5" t="str">
        <f>""</f>
        <v/>
      </c>
      <c r="AG204" s="5" t="str">
        <f>"нет"</f>
        <v>нет</v>
      </c>
      <c r="AH204" s="5" t="str">
        <f>""</f>
        <v/>
      </c>
      <c r="AI204" s="5" t="str">
        <f>""</f>
        <v/>
      </c>
      <c r="AJ204" s="5" t="str">
        <f>""</f>
        <v/>
      </c>
      <c r="AK204" s="8" t="str">
        <f>"1978"</f>
        <v>1978</v>
      </c>
      <c r="AL204" s="5" t="str">
        <f>"25,00"</f>
        <v>25,00</v>
      </c>
      <c r="AM204" s="5" t="str">
        <f>"2025"</f>
        <v>2025</v>
      </c>
      <c r="AN204" s="5" t="str">
        <f>"нет"</f>
        <v>нет</v>
      </c>
      <c r="AO204" s="5" t="str">
        <f>""</f>
        <v/>
      </c>
      <c r="AP204" s="5" t="str">
        <f>""</f>
        <v/>
      </c>
      <c r="AQ204" s="5" t="str">
        <f>""</f>
        <v/>
      </c>
      <c r="AR204" s="5" t="str">
        <f>"нет"</f>
        <v>нет</v>
      </c>
      <c r="AS204" s="5" t="str">
        <f>""</f>
        <v/>
      </c>
      <c r="AT204" s="5" t="str">
        <f>""</f>
        <v/>
      </c>
      <c r="AU204" s="5" t="str">
        <f>""</f>
        <v/>
      </c>
      <c r="AV204" s="5" t="str">
        <f>"1978"</f>
        <v>1978</v>
      </c>
      <c r="AW204" s="5" t="str">
        <f>"25,00"</f>
        <v>25,00</v>
      </c>
      <c r="AX204" s="5" t="str">
        <f>"2025"</f>
        <v>2025</v>
      </c>
      <c r="AY204" s="5" t="str">
        <f>"нет"</f>
        <v>нет</v>
      </c>
      <c r="AZ204" s="5" t="str">
        <f>""</f>
        <v/>
      </c>
      <c r="BA204" s="5" t="str">
        <f>""</f>
        <v/>
      </c>
      <c r="BB204" s="5" t="str">
        <f>""</f>
        <v/>
      </c>
      <c r="BC204" s="5" t="str">
        <f>"нет"</f>
        <v>нет</v>
      </c>
      <c r="BD204" s="5" t="str">
        <f>""</f>
        <v/>
      </c>
      <c r="BE204" s="5" t="str">
        <f>""</f>
        <v/>
      </c>
      <c r="BF204" s="5" t="str">
        <f>""</f>
        <v/>
      </c>
      <c r="BG204" s="5" t="str">
        <f>"1978"</f>
        <v>1978</v>
      </c>
      <c r="BH204" s="5" t="str">
        <f>"25,00"</f>
        <v>25,00</v>
      </c>
      <c r="BI204" s="5" t="str">
        <f>"2025"</f>
        <v>2025</v>
      </c>
      <c r="BJ204" s="5" t="str">
        <f>"нет"</f>
        <v>нет</v>
      </c>
      <c r="BK204" s="5" t="str">
        <f>""</f>
        <v/>
      </c>
      <c r="BL204" s="5" t="str">
        <f>""</f>
        <v/>
      </c>
      <c r="BM204" s="5" t="str">
        <f>""</f>
        <v/>
      </c>
      <c r="BN204" s="5" t="str">
        <f>"нет"</f>
        <v>нет</v>
      </c>
      <c r="BO204" s="5" t="str">
        <f>""</f>
        <v/>
      </c>
      <c r="BP204" s="5" t="str">
        <f>""</f>
        <v/>
      </c>
      <c r="BQ204" s="5" t="str">
        <f>""</f>
        <v/>
      </c>
      <c r="BR204" s="5" t="str">
        <f>"1978"</f>
        <v>1978</v>
      </c>
      <c r="BS204" s="5" t="str">
        <f>"30,00"</f>
        <v>30,00</v>
      </c>
      <c r="BT204" s="5" t="str">
        <f>"2025"</f>
        <v>2025</v>
      </c>
      <c r="BU204" s="5" t="str">
        <f t="shared" si="223"/>
        <v>нет</v>
      </c>
      <c r="BV204" s="5" t="str">
        <f t="shared" si="332"/>
        <v>x</v>
      </c>
      <c r="BW204" s="5" t="str">
        <f t="shared" si="332"/>
        <v>x</v>
      </c>
      <c r="BX204" s="5" t="str">
        <f t="shared" si="332"/>
        <v>x</v>
      </c>
      <c r="BY204" s="5" t="str">
        <f t="shared" si="280"/>
        <v>нет</v>
      </c>
      <c r="BZ204" s="5" t="str">
        <f t="shared" si="333"/>
        <v>x</v>
      </c>
      <c r="CA204" s="5" t="str">
        <f t="shared" si="333"/>
        <v>x</v>
      </c>
      <c r="CB204" s="5" t="str">
        <f t="shared" si="333"/>
        <v>x</v>
      </c>
      <c r="CC204" s="5" t="str">
        <f>"1978"</f>
        <v>1978</v>
      </c>
      <c r="CD204" s="5" t="str">
        <f>"10,00"</f>
        <v>10,00</v>
      </c>
      <c r="CE204" s="5" t="str">
        <f>"2025"</f>
        <v>2025</v>
      </c>
      <c r="CF204" s="5" t="str">
        <f>"1978"</f>
        <v>1978</v>
      </c>
      <c r="CG204" s="5" t="str">
        <f>"30,00"</f>
        <v>30,00</v>
      </c>
      <c r="CH204" s="5" t="str">
        <f>"2025"</f>
        <v>2025</v>
      </c>
      <c r="CI204" s="5" t="str">
        <f>"25,00"</f>
        <v>25,00</v>
      </c>
      <c r="CJ204" s="5" t="str">
        <f>"2025"</f>
        <v>2025</v>
      </c>
    </row>
    <row r="205" spans="1:88" ht="11.25" customHeight="1">
      <c r="A205" s="3" t="str">
        <f>"1.192"</f>
        <v>1.192</v>
      </c>
      <c r="B205" s="4" t="str">
        <f>"г. Грязовец, ул. Новая, д.4"</f>
        <v>г. Грязовец, ул. Новая, д.4</v>
      </c>
      <c r="C205" s="7" t="str">
        <f>"1978"</f>
        <v>1978</v>
      </c>
      <c r="D205" s="5" t="str">
        <f>"1978"</f>
        <v>1978</v>
      </c>
      <c r="E205" s="5" t="str">
        <f>"28,00"</f>
        <v>28,00</v>
      </c>
      <c r="F205" s="5" t="str">
        <f>"2025"</f>
        <v>2025</v>
      </c>
      <c r="G205" s="5" t="str">
        <f t="shared" si="316"/>
        <v>да</v>
      </c>
      <c r="H205" s="5" t="str">
        <f>""</f>
        <v/>
      </c>
      <c r="I205" s="5" t="str">
        <f>"25,00"</f>
        <v>25,00</v>
      </c>
      <c r="J205" s="5" t="str">
        <f>"2025"</f>
        <v>2025</v>
      </c>
      <c r="K205" s="5" t="str">
        <f t="shared" si="317"/>
        <v>да</v>
      </c>
      <c r="L205" s="5" t="str">
        <f>""</f>
        <v/>
      </c>
      <c r="M205" s="5" t="str">
        <f>"25,00"</f>
        <v>25,00</v>
      </c>
      <c r="N205" s="5" t="str">
        <f>"2025"</f>
        <v>2025</v>
      </c>
      <c r="O205" s="8" t="str">
        <f>"1978"</f>
        <v>1978</v>
      </c>
      <c r="P205" s="5" t="str">
        <f>"25,00"</f>
        <v>25,00</v>
      </c>
      <c r="Q205" s="5" t="str">
        <f>"2025"</f>
        <v>2025</v>
      </c>
      <c r="R205" s="5" t="str">
        <f>"нет"</f>
        <v>нет</v>
      </c>
      <c r="S205" s="5" t="str">
        <f>""</f>
        <v/>
      </c>
      <c r="T205" s="5" t="str">
        <f>""</f>
        <v/>
      </c>
      <c r="U205" s="5" t="str">
        <f>""</f>
        <v/>
      </c>
      <c r="V205" s="5" t="str">
        <f>"нет"</f>
        <v>нет</v>
      </c>
      <c r="W205" s="5" t="str">
        <f>""</f>
        <v/>
      </c>
      <c r="X205" s="5" t="str">
        <f>""</f>
        <v/>
      </c>
      <c r="Y205" s="9" t="str">
        <f>""</f>
        <v/>
      </c>
      <c r="Z205" s="5" t="str">
        <f>"1978"</f>
        <v>1978</v>
      </c>
      <c r="AA205" s="5" t="str">
        <f>"30,00"</f>
        <v>30,00</v>
      </c>
      <c r="AB205" s="5" t="str">
        <f>"2025"</f>
        <v>2025</v>
      </c>
      <c r="AC205" s="5" t="str">
        <f>"нет"</f>
        <v>нет</v>
      </c>
      <c r="AD205" s="5" t="str">
        <f>""</f>
        <v/>
      </c>
      <c r="AE205" s="5" t="str">
        <f>""</f>
        <v/>
      </c>
      <c r="AF205" s="5" t="str">
        <f>""</f>
        <v/>
      </c>
      <c r="AG205" s="5" t="str">
        <f>"нет"</f>
        <v>нет</v>
      </c>
      <c r="AH205" s="5" t="str">
        <f>""</f>
        <v/>
      </c>
      <c r="AI205" s="5" t="str">
        <f>""</f>
        <v/>
      </c>
      <c r="AJ205" s="5" t="str">
        <f>""</f>
        <v/>
      </c>
      <c r="AK205" s="8" t="str">
        <f>"1978"</f>
        <v>1978</v>
      </c>
      <c r="AL205" s="5" t="str">
        <f>"25,00"</f>
        <v>25,00</v>
      </c>
      <c r="AM205" s="5" t="str">
        <f>"2025"</f>
        <v>2025</v>
      </c>
      <c r="AN205" s="5" t="str">
        <f>"нет"</f>
        <v>нет</v>
      </c>
      <c r="AO205" s="5" t="str">
        <f>""</f>
        <v/>
      </c>
      <c r="AP205" s="5" t="str">
        <f>""</f>
        <v/>
      </c>
      <c r="AQ205" s="5" t="str">
        <f>""</f>
        <v/>
      </c>
      <c r="AR205" s="5" t="str">
        <f>"нет"</f>
        <v>нет</v>
      </c>
      <c r="AS205" s="5" t="str">
        <f>""</f>
        <v/>
      </c>
      <c r="AT205" s="5" t="str">
        <f>""</f>
        <v/>
      </c>
      <c r="AU205" s="5" t="str">
        <f>""</f>
        <v/>
      </c>
      <c r="AV205" s="5" t="str">
        <f>"1978"</f>
        <v>1978</v>
      </c>
      <c r="AW205" s="5" t="str">
        <f>"28,00"</f>
        <v>28,00</v>
      </c>
      <c r="AX205" s="5" t="str">
        <f>"2025"</f>
        <v>2025</v>
      </c>
      <c r="AY205" s="5" t="str">
        <f>"нет"</f>
        <v>нет</v>
      </c>
      <c r="AZ205" s="5" t="str">
        <f>""</f>
        <v/>
      </c>
      <c r="BA205" s="5" t="str">
        <f>""</f>
        <v/>
      </c>
      <c r="BB205" s="5" t="str">
        <f>""</f>
        <v/>
      </c>
      <c r="BC205" s="5" t="str">
        <f>"нет"</f>
        <v>нет</v>
      </c>
      <c r="BD205" s="5" t="str">
        <f>""</f>
        <v/>
      </c>
      <c r="BE205" s="5" t="str">
        <f>""</f>
        <v/>
      </c>
      <c r="BF205" s="5" t="str">
        <f>""</f>
        <v/>
      </c>
      <c r="BG205" s="5" t="str">
        <f>"1978"</f>
        <v>1978</v>
      </c>
      <c r="BH205" s="5" t="str">
        <f>"28,00"</f>
        <v>28,00</v>
      </c>
      <c r="BI205" s="5" t="str">
        <f>"2025"</f>
        <v>2025</v>
      </c>
      <c r="BJ205" s="5" t="str">
        <f>"нет"</f>
        <v>нет</v>
      </c>
      <c r="BK205" s="5" t="str">
        <f>""</f>
        <v/>
      </c>
      <c r="BL205" s="5" t="str">
        <f>""</f>
        <v/>
      </c>
      <c r="BM205" s="5" t="str">
        <f>""</f>
        <v/>
      </c>
      <c r="BN205" s="5" t="str">
        <f>"нет"</f>
        <v>нет</v>
      </c>
      <c r="BO205" s="5" t="str">
        <f>""</f>
        <v/>
      </c>
      <c r="BP205" s="5" t="str">
        <f>""</f>
        <v/>
      </c>
      <c r="BQ205" s="5" t="str">
        <f>""</f>
        <v/>
      </c>
      <c r="BR205" s="5" t="str">
        <f>"1978"</f>
        <v>1978</v>
      </c>
      <c r="BS205" s="5" t="str">
        <f>"30,00"</f>
        <v>30,00</v>
      </c>
      <c r="BT205" s="5" t="str">
        <f>"2025"</f>
        <v>2025</v>
      </c>
      <c r="BU205" s="5" t="str">
        <f t="shared" si="223"/>
        <v>нет</v>
      </c>
      <c r="BV205" s="5" t="str">
        <f t="shared" si="332"/>
        <v>x</v>
      </c>
      <c r="BW205" s="5" t="str">
        <f t="shared" si="332"/>
        <v>x</v>
      </c>
      <c r="BX205" s="5" t="str">
        <f t="shared" si="332"/>
        <v>x</v>
      </c>
      <c r="BY205" s="5" t="str">
        <f t="shared" ref="BY205:BY236" si="338">"нет"</f>
        <v>нет</v>
      </c>
      <c r="BZ205" s="5" t="str">
        <f t="shared" si="333"/>
        <v>x</v>
      </c>
      <c r="CA205" s="5" t="str">
        <f t="shared" si="333"/>
        <v>x</v>
      </c>
      <c r="CB205" s="5" t="str">
        <f t="shared" si="333"/>
        <v>x</v>
      </c>
      <c r="CC205" s="5" t="str">
        <f>"1978"</f>
        <v>1978</v>
      </c>
      <c r="CD205" s="5" t="str">
        <f>"15,00"</f>
        <v>15,00</v>
      </c>
      <c r="CE205" s="5" t="str">
        <f>"2025"</f>
        <v>2025</v>
      </c>
      <c r="CF205" s="5" t="str">
        <f>"1978"</f>
        <v>1978</v>
      </c>
      <c r="CG205" s="5" t="str">
        <f>"30,00"</f>
        <v>30,00</v>
      </c>
      <c r="CH205" s="5" t="str">
        <f>"2025"</f>
        <v>2025</v>
      </c>
      <c r="CI205" s="5" t="str">
        <f>"25,00"</f>
        <v>25,00</v>
      </c>
      <c r="CJ205" s="5" t="str">
        <f>"2025"</f>
        <v>2025</v>
      </c>
    </row>
    <row r="206" spans="1:88" ht="11.25" customHeight="1">
      <c r="A206" s="3" t="str">
        <f>"1.193"</f>
        <v>1.193</v>
      </c>
      <c r="B206" s="4" t="str">
        <f>"г. Грязовец, ул. Обнорского, д.1"</f>
        <v>г. Грязовец, ул. Обнорского, д.1</v>
      </c>
      <c r="C206" s="7" t="str">
        <f>"1985"</f>
        <v>1985</v>
      </c>
      <c r="D206" s="5" t="str">
        <f>"1985"</f>
        <v>1985</v>
      </c>
      <c r="E206" s="5" t="str">
        <f>"30,00"</f>
        <v>30,00</v>
      </c>
      <c r="F206" s="5" t="str">
        <f>"2025"</f>
        <v>2025</v>
      </c>
      <c r="G206" s="5" t="str">
        <f t="shared" si="316"/>
        <v>да</v>
      </c>
      <c r="H206" s="5" t="str">
        <f>""</f>
        <v/>
      </c>
      <c r="I206" s="5" t="str">
        <f>"25,00"</f>
        <v>25,00</v>
      </c>
      <c r="J206" s="5" t="str">
        <f>"2025"</f>
        <v>2025</v>
      </c>
      <c r="K206" s="5" t="str">
        <f t="shared" si="317"/>
        <v>да</v>
      </c>
      <c r="L206" s="5" t="str">
        <f>""</f>
        <v/>
      </c>
      <c r="M206" s="5" t="str">
        <f>"25,00"</f>
        <v>25,00</v>
      </c>
      <c r="N206" s="5" t="str">
        <f>"2025"</f>
        <v>2025</v>
      </c>
      <c r="O206" s="8" t="str">
        <f>"1985"</f>
        <v>1985</v>
      </c>
      <c r="P206" s="5" t="str">
        <f>"51,00"</f>
        <v>51,00</v>
      </c>
      <c r="Q206" s="5" t="str">
        <f>"2018"</f>
        <v>2018</v>
      </c>
      <c r="R206" s="5" t="str">
        <f>"нет"</f>
        <v>нет</v>
      </c>
      <c r="S206" s="5" t="str">
        <f>""</f>
        <v/>
      </c>
      <c r="T206" s="5" t="str">
        <f>""</f>
        <v/>
      </c>
      <c r="U206" s="5" t="str">
        <f>""</f>
        <v/>
      </c>
      <c r="V206" s="5" t="str">
        <f>"нет"</f>
        <v>нет</v>
      </c>
      <c r="W206" s="5" t="str">
        <f>""</f>
        <v/>
      </c>
      <c r="X206" s="5" t="str">
        <f>""</f>
        <v/>
      </c>
      <c r="Y206" s="9" t="str">
        <f>""</f>
        <v/>
      </c>
      <c r="Z206" s="5" t="str">
        <f>"1985"</f>
        <v>1985</v>
      </c>
      <c r="AA206" s="5" t="str">
        <f>"30,00"</f>
        <v>30,00</v>
      </c>
      <c r="AB206" s="5" t="str">
        <f>"2025"</f>
        <v>2025</v>
      </c>
      <c r="AC206" s="5" t="str">
        <f>"нет"</f>
        <v>нет</v>
      </c>
      <c r="AD206" s="5" t="str">
        <f>""</f>
        <v/>
      </c>
      <c r="AE206" s="5" t="str">
        <f>""</f>
        <v/>
      </c>
      <c r="AF206" s="5" t="str">
        <f>""</f>
        <v/>
      </c>
      <c r="AG206" s="5" t="str">
        <f>"нет"</f>
        <v>нет</v>
      </c>
      <c r="AH206" s="5" t="str">
        <f>""</f>
        <v/>
      </c>
      <c r="AI206" s="5" t="str">
        <f>""</f>
        <v/>
      </c>
      <c r="AJ206" s="5" t="str">
        <f>""</f>
        <v/>
      </c>
      <c r="AK206" s="8" t="str">
        <f>"1985"</f>
        <v>1985</v>
      </c>
      <c r="AL206" s="5" t="str">
        <f>"51,00"</f>
        <v>51,00</v>
      </c>
      <c r="AM206" s="5" t="str">
        <f>"2018"</f>
        <v>2018</v>
      </c>
      <c r="AN206" s="5" t="str">
        <f>"нет"</f>
        <v>нет</v>
      </c>
      <c r="AO206" s="5" t="str">
        <f>""</f>
        <v/>
      </c>
      <c r="AP206" s="5" t="str">
        <f>""</f>
        <v/>
      </c>
      <c r="AQ206" s="5" t="str">
        <f>""</f>
        <v/>
      </c>
      <c r="AR206" s="5" t="str">
        <f>"нет"</f>
        <v>нет</v>
      </c>
      <c r="AS206" s="5" t="str">
        <f>""</f>
        <v/>
      </c>
      <c r="AT206" s="5" t="str">
        <f>""</f>
        <v/>
      </c>
      <c r="AU206" s="5" t="str">
        <f>""</f>
        <v/>
      </c>
      <c r="AV206" s="5" t="str">
        <f>"1985"</f>
        <v>1985</v>
      </c>
      <c r="AW206" s="5" t="str">
        <f>"52,00"</f>
        <v>52,00</v>
      </c>
      <c r="AX206" s="5" t="str">
        <f>"2018"</f>
        <v>2018</v>
      </c>
      <c r="AY206" s="5" t="str">
        <f>"нет"</f>
        <v>нет</v>
      </c>
      <c r="AZ206" s="5" t="str">
        <f>""</f>
        <v/>
      </c>
      <c r="BA206" s="5" t="str">
        <f>""</f>
        <v/>
      </c>
      <c r="BB206" s="5" t="str">
        <f>""</f>
        <v/>
      </c>
      <c r="BC206" s="5" t="str">
        <f>"нет"</f>
        <v>нет</v>
      </c>
      <c r="BD206" s="5" t="str">
        <f>""</f>
        <v/>
      </c>
      <c r="BE206" s="5" t="str">
        <f>""</f>
        <v/>
      </c>
      <c r="BF206" s="5" t="str">
        <f>""</f>
        <v/>
      </c>
      <c r="BG206" s="5" t="str">
        <f>"1985"</f>
        <v>1985</v>
      </c>
      <c r="BH206" s="5" t="str">
        <f>"30,00"</f>
        <v>30,00</v>
      </c>
      <c r="BI206" s="5" t="str">
        <f>"2020"</f>
        <v>2020</v>
      </c>
      <c r="BJ206" s="5" t="str">
        <f>"нет"</f>
        <v>нет</v>
      </c>
      <c r="BK206" s="5" t="str">
        <f>""</f>
        <v/>
      </c>
      <c r="BL206" s="5" t="str">
        <f>""</f>
        <v/>
      </c>
      <c r="BM206" s="5" t="str">
        <f>""</f>
        <v/>
      </c>
      <c r="BN206" s="5" t="str">
        <f>"нет"</f>
        <v>нет</v>
      </c>
      <c r="BO206" s="5" t="str">
        <f>""</f>
        <v/>
      </c>
      <c r="BP206" s="5" t="str">
        <f>""</f>
        <v/>
      </c>
      <c r="BQ206" s="5" t="str">
        <f>""</f>
        <v/>
      </c>
      <c r="BR206" s="5" t="str">
        <f>"1985"</f>
        <v>1985</v>
      </c>
      <c r="BS206" s="5" t="str">
        <f>"51,00"</f>
        <v>51,00</v>
      </c>
      <c r="BT206" s="5" t="str">
        <f>"2020"</f>
        <v>2020</v>
      </c>
      <c r="BU206" s="5" t="str">
        <f t="shared" ref="BU206:BU269" si="339">"нет"</f>
        <v>нет</v>
      </c>
      <c r="BV206" s="5" t="str">
        <f t="shared" si="332"/>
        <v>x</v>
      </c>
      <c r="BW206" s="5" t="str">
        <f t="shared" si="332"/>
        <v>x</v>
      </c>
      <c r="BX206" s="5" t="str">
        <f t="shared" si="332"/>
        <v>x</v>
      </c>
      <c r="BY206" s="5" t="str">
        <f t="shared" si="338"/>
        <v>нет</v>
      </c>
      <c r="BZ206" s="5" t="str">
        <f>"1985"</f>
        <v>1985</v>
      </c>
      <c r="CA206" s="5" t="str">
        <f>"25,00"</f>
        <v>25,00</v>
      </c>
      <c r="CB206" s="5" t="str">
        <f>"2026"</f>
        <v>2026</v>
      </c>
      <c r="CC206" s="5" t="str">
        <f>"1985"</f>
        <v>1985</v>
      </c>
      <c r="CD206" s="5" t="str">
        <f>"18,00"</f>
        <v>18,00</v>
      </c>
      <c r="CE206" s="5" t="str">
        <f>"2030"</f>
        <v>2030</v>
      </c>
      <c r="CF206" s="5" t="str">
        <f>"1985"</f>
        <v>1985</v>
      </c>
      <c r="CG206" s="5" t="str">
        <f>"30,00"</f>
        <v>30,00</v>
      </c>
      <c r="CH206" s="5" t="str">
        <f>"2030"</f>
        <v>2030</v>
      </c>
      <c r="CI206" s="5" t="str">
        <f>"26,00"</f>
        <v>26,00</v>
      </c>
      <c r="CJ206" s="5" t="str">
        <f>"2030"</f>
        <v>2030</v>
      </c>
    </row>
    <row r="207" spans="1:88" ht="11.25" customHeight="1">
      <c r="A207" s="3" t="str">
        <f>"1.194"</f>
        <v>1.194</v>
      </c>
      <c r="B207" s="4" t="str">
        <f>"г. Грязовец, ул. Обнорского, д.109"</f>
        <v>г. Грязовец, ул. Обнорского, д.109</v>
      </c>
      <c r="C207" s="7" t="str">
        <f>"1959"</f>
        <v>1959</v>
      </c>
      <c r="D207" s="5" t="str">
        <f>"1959"</f>
        <v>1959</v>
      </c>
      <c r="E207" s="5" t="str">
        <f>"75,00"</f>
        <v>75,00</v>
      </c>
      <c r="F207" s="5" t="str">
        <f>"2019"</f>
        <v>2019</v>
      </c>
      <c r="G207" s="5" t="str">
        <f t="shared" si="316"/>
        <v>да</v>
      </c>
      <c r="H207" s="5" t="str">
        <f>""</f>
        <v/>
      </c>
      <c r="I207" s="5" t="str">
        <f>"65,00"</f>
        <v>65,00</v>
      </c>
      <c r="J207" s="5" t="str">
        <f>"2019"</f>
        <v>2019</v>
      </c>
      <c r="K207" s="5" t="str">
        <f t="shared" si="317"/>
        <v>да</v>
      </c>
      <c r="L207" s="5" t="str">
        <f>""</f>
        <v/>
      </c>
      <c r="M207" s="5" t="str">
        <f>"65,00"</f>
        <v>65,00</v>
      </c>
      <c r="N207" s="5" t="str">
        <f>"2019"</f>
        <v>2019</v>
      </c>
      <c r="O207" s="8" t="str">
        <f t="shared" ref="O207:X208" si="340">"х"</f>
        <v>х</v>
      </c>
      <c r="P207" s="5" t="str">
        <f t="shared" si="340"/>
        <v>х</v>
      </c>
      <c r="Q207" s="5" t="str">
        <f t="shared" si="340"/>
        <v>х</v>
      </c>
      <c r="R207" s="5" t="str">
        <f t="shared" si="340"/>
        <v>х</v>
      </c>
      <c r="S207" s="5" t="str">
        <f t="shared" si="340"/>
        <v>х</v>
      </c>
      <c r="T207" s="5" t="str">
        <f t="shared" si="340"/>
        <v>х</v>
      </c>
      <c r="U207" s="5" t="str">
        <f t="shared" si="340"/>
        <v>х</v>
      </c>
      <c r="V207" s="5" t="str">
        <f t="shared" si="340"/>
        <v>х</v>
      </c>
      <c r="W207" s="5" t="str">
        <f t="shared" si="340"/>
        <v>х</v>
      </c>
      <c r="X207" s="5" t="str">
        <f t="shared" si="340"/>
        <v>х</v>
      </c>
      <c r="Y207" s="9" t="str">
        <f t="shared" ref="Y207:AH208" si="341">"х"</f>
        <v>х</v>
      </c>
      <c r="Z207" s="5" t="str">
        <f t="shared" si="341"/>
        <v>х</v>
      </c>
      <c r="AA207" s="5" t="str">
        <f t="shared" si="341"/>
        <v>х</v>
      </c>
      <c r="AB207" s="5" t="str">
        <f t="shared" si="341"/>
        <v>х</v>
      </c>
      <c r="AC207" s="5" t="str">
        <f t="shared" si="341"/>
        <v>х</v>
      </c>
      <c r="AD207" s="5" t="str">
        <f t="shared" si="341"/>
        <v>х</v>
      </c>
      <c r="AE207" s="5" t="str">
        <f t="shared" si="341"/>
        <v>х</v>
      </c>
      <c r="AF207" s="5" t="str">
        <f t="shared" si="341"/>
        <v>х</v>
      </c>
      <c r="AG207" s="5" t="str">
        <f t="shared" si="341"/>
        <v>х</v>
      </c>
      <c r="AH207" s="5" t="str">
        <f t="shared" si="341"/>
        <v>х</v>
      </c>
      <c r="AI207" s="5" t="str">
        <f t="shared" ref="AI207:AR208" si="342">"х"</f>
        <v>х</v>
      </c>
      <c r="AJ207" s="5" t="str">
        <f t="shared" si="342"/>
        <v>х</v>
      </c>
      <c r="AK207" s="8" t="str">
        <f t="shared" si="342"/>
        <v>х</v>
      </c>
      <c r="AL207" s="5" t="str">
        <f t="shared" si="342"/>
        <v>х</v>
      </c>
      <c r="AM207" s="5" t="str">
        <f t="shared" si="342"/>
        <v>х</v>
      </c>
      <c r="AN207" s="5" t="str">
        <f t="shared" si="342"/>
        <v>х</v>
      </c>
      <c r="AO207" s="5" t="str">
        <f t="shared" si="342"/>
        <v>х</v>
      </c>
      <c r="AP207" s="5" t="str">
        <f t="shared" si="342"/>
        <v>х</v>
      </c>
      <c r="AQ207" s="5" t="str">
        <f t="shared" si="342"/>
        <v>х</v>
      </c>
      <c r="AR207" s="5" t="str">
        <f t="shared" si="342"/>
        <v>х</v>
      </c>
      <c r="AS207" s="5" t="str">
        <f t="shared" ref="AS207:BB208" si="343">"х"</f>
        <v>х</v>
      </c>
      <c r="AT207" s="5" t="str">
        <f t="shared" si="343"/>
        <v>х</v>
      </c>
      <c r="AU207" s="5" t="str">
        <f t="shared" si="343"/>
        <v>х</v>
      </c>
      <c r="AV207" s="5" t="str">
        <f t="shared" si="343"/>
        <v>х</v>
      </c>
      <c r="AW207" s="5" t="str">
        <f t="shared" si="343"/>
        <v>х</v>
      </c>
      <c r="AX207" s="5" t="str">
        <f t="shared" si="343"/>
        <v>х</v>
      </c>
      <c r="AY207" s="5" t="str">
        <f t="shared" si="343"/>
        <v>х</v>
      </c>
      <c r="AZ207" s="5" t="str">
        <f t="shared" si="343"/>
        <v>х</v>
      </c>
      <c r="BA207" s="5" t="str">
        <f t="shared" si="343"/>
        <v>х</v>
      </c>
      <c r="BB207" s="5" t="str">
        <f t="shared" si="343"/>
        <v>х</v>
      </c>
      <c r="BC207" s="5" t="str">
        <f t="shared" ref="BC207:BQ208" si="344">"х"</f>
        <v>х</v>
      </c>
      <c r="BD207" s="5" t="str">
        <f t="shared" si="344"/>
        <v>х</v>
      </c>
      <c r="BE207" s="5" t="str">
        <f t="shared" si="344"/>
        <v>х</v>
      </c>
      <c r="BF207" s="5" t="str">
        <f t="shared" si="344"/>
        <v>х</v>
      </c>
      <c r="BG207" s="5" t="str">
        <f t="shared" si="344"/>
        <v>х</v>
      </c>
      <c r="BH207" s="5" t="str">
        <f t="shared" si="344"/>
        <v>х</v>
      </c>
      <c r="BI207" s="5" t="str">
        <f t="shared" si="344"/>
        <v>х</v>
      </c>
      <c r="BJ207" s="5" t="str">
        <f t="shared" si="344"/>
        <v>х</v>
      </c>
      <c r="BK207" s="5" t="str">
        <f t="shared" si="344"/>
        <v>х</v>
      </c>
      <c r="BL207" s="5" t="str">
        <f t="shared" si="344"/>
        <v>х</v>
      </c>
      <c r="BM207" s="5" t="str">
        <f t="shared" si="344"/>
        <v>х</v>
      </c>
      <c r="BN207" s="5" t="str">
        <f t="shared" si="344"/>
        <v>х</v>
      </c>
      <c r="BO207" s="5" t="str">
        <f t="shared" si="344"/>
        <v>х</v>
      </c>
      <c r="BP207" s="5" t="str">
        <f t="shared" si="344"/>
        <v>х</v>
      </c>
      <c r="BQ207" s="5" t="str">
        <f t="shared" si="344"/>
        <v>х</v>
      </c>
      <c r="BR207" s="5" t="str">
        <f>"1959"</f>
        <v>1959</v>
      </c>
      <c r="BS207" s="5" t="str">
        <f>"75,00"</f>
        <v>75,00</v>
      </c>
      <c r="BT207" s="5" t="str">
        <f>"2019"</f>
        <v>2019</v>
      </c>
      <c r="BU207" s="5" t="str">
        <f t="shared" si="339"/>
        <v>нет</v>
      </c>
      <c r="BV207" s="5" t="str">
        <f t="shared" si="332"/>
        <v>x</v>
      </c>
      <c r="BW207" s="5" t="str">
        <f t="shared" si="332"/>
        <v>x</v>
      </c>
      <c r="BX207" s="5" t="str">
        <f t="shared" si="332"/>
        <v>x</v>
      </c>
      <c r="BY207" s="5" t="str">
        <f t="shared" si="338"/>
        <v>нет</v>
      </c>
      <c r="BZ207" s="5" t="str">
        <f t="shared" ref="BZ207:CB209" si="345">"x"</f>
        <v>x</v>
      </c>
      <c r="CA207" s="5" t="str">
        <f t="shared" si="345"/>
        <v>x</v>
      </c>
      <c r="CB207" s="5" t="str">
        <f t="shared" si="345"/>
        <v>x</v>
      </c>
      <c r="CC207" s="5" t="str">
        <f>"1959"</f>
        <v>1959</v>
      </c>
      <c r="CD207" s="5" t="str">
        <f>"50,00"</f>
        <v>50,00</v>
      </c>
      <c r="CE207" s="5" t="str">
        <f>"2019"</f>
        <v>2019</v>
      </c>
      <c r="CF207" s="5" t="str">
        <f>"1959"</f>
        <v>1959</v>
      </c>
      <c r="CG207" s="5" t="str">
        <f>"70,00"</f>
        <v>70,00</v>
      </c>
      <c r="CH207" s="5" t="str">
        <f>"2019"</f>
        <v>2019</v>
      </c>
      <c r="CI207" s="5" t="str">
        <f>"65,00"</f>
        <v>65,00</v>
      </c>
      <c r="CJ207" s="5" t="str">
        <f>"2019"</f>
        <v>2019</v>
      </c>
    </row>
    <row r="208" spans="1:88" ht="11.25" customHeight="1">
      <c r="A208" s="3" t="str">
        <f>"1.195"</f>
        <v>1.195</v>
      </c>
      <c r="B208" s="4" t="str">
        <f>"г. Грязовец, ул. Обнорского, д.111"</f>
        <v>г. Грязовец, ул. Обнорского, д.111</v>
      </c>
      <c r="C208" s="7" t="str">
        <f>"1904"</f>
        <v>1904</v>
      </c>
      <c r="D208" s="5" t="str">
        <f>"1950"</f>
        <v>1950</v>
      </c>
      <c r="E208" s="5" t="str">
        <f>"56,00"</f>
        <v>56,00</v>
      </c>
      <c r="F208" s="5" t="str">
        <f>"2020"</f>
        <v>2020</v>
      </c>
      <c r="G208" s="5" t="str">
        <f t="shared" si="316"/>
        <v>да</v>
      </c>
      <c r="H208" s="5" t="str">
        <f>""</f>
        <v/>
      </c>
      <c r="I208" s="5" t="str">
        <f>"56,00"</f>
        <v>56,00</v>
      </c>
      <c r="J208" s="5" t="str">
        <f>"2020"</f>
        <v>2020</v>
      </c>
      <c r="K208" s="5" t="str">
        <f t="shared" si="317"/>
        <v>да</v>
      </c>
      <c r="L208" s="5" t="str">
        <f>""</f>
        <v/>
      </c>
      <c r="M208" s="5" t="str">
        <f>"56,00"</f>
        <v>56,00</v>
      </c>
      <c r="N208" s="5" t="str">
        <f>"2020"</f>
        <v>2020</v>
      </c>
      <c r="O208" s="8" t="str">
        <f t="shared" si="340"/>
        <v>х</v>
      </c>
      <c r="P208" s="5" t="str">
        <f t="shared" si="340"/>
        <v>х</v>
      </c>
      <c r="Q208" s="5" t="str">
        <f t="shared" si="340"/>
        <v>х</v>
      </c>
      <c r="R208" s="5" t="str">
        <f t="shared" si="340"/>
        <v>х</v>
      </c>
      <c r="S208" s="5" t="str">
        <f t="shared" si="340"/>
        <v>х</v>
      </c>
      <c r="T208" s="5" t="str">
        <f t="shared" si="340"/>
        <v>х</v>
      </c>
      <c r="U208" s="5" t="str">
        <f t="shared" si="340"/>
        <v>х</v>
      </c>
      <c r="V208" s="5" t="str">
        <f t="shared" si="340"/>
        <v>х</v>
      </c>
      <c r="W208" s="5" t="str">
        <f t="shared" si="340"/>
        <v>х</v>
      </c>
      <c r="X208" s="5" t="str">
        <f t="shared" si="340"/>
        <v>х</v>
      </c>
      <c r="Y208" s="9" t="str">
        <f t="shared" si="341"/>
        <v>х</v>
      </c>
      <c r="Z208" s="5" t="str">
        <f t="shared" si="341"/>
        <v>х</v>
      </c>
      <c r="AA208" s="5" t="str">
        <f t="shared" si="341"/>
        <v>х</v>
      </c>
      <c r="AB208" s="5" t="str">
        <f t="shared" si="341"/>
        <v>х</v>
      </c>
      <c r="AC208" s="5" t="str">
        <f t="shared" si="341"/>
        <v>х</v>
      </c>
      <c r="AD208" s="5" t="str">
        <f t="shared" si="341"/>
        <v>х</v>
      </c>
      <c r="AE208" s="5" t="str">
        <f t="shared" si="341"/>
        <v>х</v>
      </c>
      <c r="AF208" s="5" t="str">
        <f t="shared" si="341"/>
        <v>х</v>
      </c>
      <c r="AG208" s="5" t="str">
        <f t="shared" si="341"/>
        <v>х</v>
      </c>
      <c r="AH208" s="5" t="str">
        <f t="shared" si="341"/>
        <v>х</v>
      </c>
      <c r="AI208" s="5" t="str">
        <f t="shared" si="342"/>
        <v>х</v>
      </c>
      <c r="AJ208" s="5" t="str">
        <f t="shared" si="342"/>
        <v>х</v>
      </c>
      <c r="AK208" s="8" t="str">
        <f t="shared" si="342"/>
        <v>х</v>
      </c>
      <c r="AL208" s="5" t="str">
        <f t="shared" si="342"/>
        <v>х</v>
      </c>
      <c r="AM208" s="5" t="str">
        <f t="shared" si="342"/>
        <v>х</v>
      </c>
      <c r="AN208" s="5" t="str">
        <f t="shared" si="342"/>
        <v>х</v>
      </c>
      <c r="AO208" s="5" t="str">
        <f t="shared" si="342"/>
        <v>х</v>
      </c>
      <c r="AP208" s="5" t="str">
        <f t="shared" si="342"/>
        <v>х</v>
      </c>
      <c r="AQ208" s="5" t="str">
        <f t="shared" si="342"/>
        <v>х</v>
      </c>
      <c r="AR208" s="5" t="str">
        <f t="shared" si="342"/>
        <v>х</v>
      </c>
      <c r="AS208" s="5" t="str">
        <f t="shared" si="343"/>
        <v>х</v>
      </c>
      <c r="AT208" s="5" t="str">
        <f t="shared" si="343"/>
        <v>х</v>
      </c>
      <c r="AU208" s="5" t="str">
        <f t="shared" si="343"/>
        <v>х</v>
      </c>
      <c r="AV208" s="5" t="str">
        <f t="shared" si="343"/>
        <v>х</v>
      </c>
      <c r="AW208" s="5" t="str">
        <f t="shared" si="343"/>
        <v>х</v>
      </c>
      <c r="AX208" s="5" t="str">
        <f t="shared" si="343"/>
        <v>х</v>
      </c>
      <c r="AY208" s="5" t="str">
        <f t="shared" si="343"/>
        <v>х</v>
      </c>
      <c r="AZ208" s="5" t="str">
        <f t="shared" si="343"/>
        <v>х</v>
      </c>
      <c r="BA208" s="5" t="str">
        <f t="shared" si="343"/>
        <v>х</v>
      </c>
      <c r="BB208" s="5" t="str">
        <f t="shared" si="343"/>
        <v>х</v>
      </c>
      <c r="BC208" s="5" t="str">
        <f t="shared" si="344"/>
        <v>х</v>
      </c>
      <c r="BD208" s="5" t="str">
        <f t="shared" si="344"/>
        <v>х</v>
      </c>
      <c r="BE208" s="5" t="str">
        <f t="shared" si="344"/>
        <v>х</v>
      </c>
      <c r="BF208" s="5" t="str">
        <f t="shared" si="344"/>
        <v>х</v>
      </c>
      <c r="BG208" s="5" t="str">
        <f t="shared" si="344"/>
        <v>х</v>
      </c>
      <c r="BH208" s="5" t="str">
        <f t="shared" si="344"/>
        <v>х</v>
      </c>
      <c r="BI208" s="5" t="str">
        <f t="shared" si="344"/>
        <v>х</v>
      </c>
      <c r="BJ208" s="5" t="str">
        <f t="shared" si="344"/>
        <v>х</v>
      </c>
      <c r="BK208" s="5" t="str">
        <f t="shared" si="344"/>
        <v>х</v>
      </c>
      <c r="BL208" s="5" t="str">
        <f t="shared" si="344"/>
        <v>х</v>
      </c>
      <c r="BM208" s="5" t="str">
        <f t="shared" si="344"/>
        <v>х</v>
      </c>
      <c r="BN208" s="5" t="str">
        <f t="shared" si="344"/>
        <v>х</v>
      </c>
      <c r="BO208" s="5" t="str">
        <f t="shared" si="344"/>
        <v>х</v>
      </c>
      <c r="BP208" s="5" t="str">
        <f t="shared" si="344"/>
        <v>х</v>
      </c>
      <c r="BQ208" s="5" t="str">
        <f t="shared" si="344"/>
        <v>х</v>
      </c>
      <c r="BR208" s="5" t="str">
        <f>"1950"</f>
        <v>1950</v>
      </c>
      <c r="BS208" s="5" t="str">
        <f>"70,00"</f>
        <v>70,00</v>
      </c>
      <c r="BT208" s="5" t="str">
        <f>"2019"</f>
        <v>2019</v>
      </c>
      <c r="BU208" s="5" t="str">
        <f t="shared" si="339"/>
        <v>нет</v>
      </c>
      <c r="BV208" s="5" t="str">
        <f t="shared" si="332"/>
        <v>x</v>
      </c>
      <c r="BW208" s="5" t="str">
        <f t="shared" si="332"/>
        <v>x</v>
      </c>
      <c r="BX208" s="5" t="str">
        <f t="shared" si="332"/>
        <v>x</v>
      </c>
      <c r="BY208" s="5" t="str">
        <f t="shared" si="338"/>
        <v>нет</v>
      </c>
      <c r="BZ208" s="5" t="str">
        <f t="shared" si="345"/>
        <v>x</v>
      </c>
      <c r="CA208" s="5" t="str">
        <f t="shared" si="345"/>
        <v>x</v>
      </c>
      <c r="CB208" s="5" t="str">
        <f t="shared" si="345"/>
        <v>x</v>
      </c>
      <c r="CC208" s="5" t="str">
        <f>"1950"</f>
        <v>1950</v>
      </c>
      <c r="CD208" s="5" t="str">
        <f>"60,00"</f>
        <v>60,00</v>
      </c>
      <c r="CE208" s="5" t="str">
        <f>"2020"</f>
        <v>2020</v>
      </c>
      <c r="CF208" s="5" t="str">
        <f>"1950"</f>
        <v>1950</v>
      </c>
      <c r="CG208" s="5" t="str">
        <f>"70,00"</f>
        <v>70,00</v>
      </c>
      <c r="CH208" s="5" t="str">
        <f>"2015"</f>
        <v>2015</v>
      </c>
      <c r="CI208" s="5" t="str">
        <f>"60,00"</f>
        <v>60,00</v>
      </c>
      <c r="CJ208" s="5" t="str">
        <f>"2021"</f>
        <v>2021</v>
      </c>
    </row>
    <row r="209" spans="1:88" ht="11.25" customHeight="1">
      <c r="A209" s="3" t="str">
        <f>"1.196"</f>
        <v>1.196</v>
      </c>
      <c r="B209" s="4" t="str">
        <f>"г. Грязовец, ул. Обнорского, д.119"</f>
        <v>г. Грязовец, ул. Обнорского, д.119</v>
      </c>
      <c r="C209" s="7" t="str">
        <f>"1960"</f>
        <v>1960</v>
      </c>
      <c r="D209" s="5" t="str">
        <f>"1960"</f>
        <v>1960</v>
      </c>
      <c r="E209" s="5" t="str">
        <f>"67,00"</f>
        <v>67,00</v>
      </c>
      <c r="F209" s="5" t="str">
        <f>"2019"</f>
        <v>2019</v>
      </c>
      <c r="G209" s="5" t="str">
        <f t="shared" si="316"/>
        <v>да</v>
      </c>
      <c r="H209" s="5" t="str">
        <f>""</f>
        <v/>
      </c>
      <c r="I209" s="5" t="str">
        <f>"67,00"</f>
        <v>67,00</v>
      </c>
      <c r="J209" s="5" t="str">
        <f>"2019"</f>
        <v>2019</v>
      </c>
      <c r="K209" s="5" t="str">
        <f t="shared" si="317"/>
        <v>да</v>
      </c>
      <c r="L209" s="5" t="str">
        <f>""</f>
        <v/>
      </c>
      <c r="M209" s="5" t="str">
        <f>"67,00"</f>
        <v>67,00</v>
      </c>
      <c r="N209" s="5" t="str">
        <f>"2019"</f>
        <v>2019</v>
      </c>
      <c r="O209" s="8" t="str">
        <f t="shared" ref="O209:Y209" si="346">"х"</f>
        <v>х</v>
      </c>
      <c r="P209" s="5" t="str">
        <f t="shared" si="346"/>
        <v>х</v>
      </c>
      <c r="Q209" s="5" t="str">
        <f t="shared" si="346"/>
        <v>х</v>
      </c>
      <c r="R209" s="5" t="str">
        <f t="shared" si="346"/>
        <v>х</v>
      </c>
      <c r="S209" s="5" t="str">
        <f t="shared" si="346"/>
        <v>х</v>
      </c>
      <c r="T209" s="5" t="str">
        <f t="shared" si="346"/>
        <v>х</v>
      </c>
      <c r="U209" s="5" t="str">
        <f t="shared" si="346"/>
        <v>х</v>
      </c>
      <c r="V209" s="5" t="str">
        <f t="shared" si="346"/>
        <v>х</v>
      </c>
      <c r="W209" s="5" t="str">
        <f t="shared" si="346"/>
        <v>х</v>
      </c>
      <c r="X209" s="5" t="str">
        <f t="shared" si="346"/>
        <v>х</v>
      </c>
      <c r="Y209" s="9" t="str">
        <f t="shared" si="346"/>
        <v>х</v>
      </c>
      <c r="Z209" s="5" t="str">
        <f>"1960"</f>
        <v>1960</v>
      </c>
      <c r="AA209" s="5" t="str">
        <f>"70,00"</f>
        <v>70,00</v>
      </c>
      <c r="AB209" s="5" t="str">
        <f>"2020"</f>
        <v>2020</v>
      </c>
      <c r="AC209" s="5" t="str">
        <f t="shared" ref="AC209:AC215" si="347">"нет"</f>
        <v>нет</v>
      </c>
      <c r="AD209" s="5" t="str">
        <f>""</f>
        <v/>
      </c>
      <c r="AE209" s="5" t="str">
        <f>""</f>
        <v/>
      </c>
      <c r="AF209" s="5" t="str">
        <f>""</f>
        <v/>
      </c>
      <c r="AG209" s="5" t="str">
        <f t="shared" ref="AG209:AG215" si="348">"нет"</f>
        <v>нет</v>
      </c>
      <c r="AH209" s="5" t="str">
        <f>""</f>
        <v/>
      </c>
      <c r="AI209" s="5" t="str">
        <f>""</f>
        <v/>
      </c>
      <c r="AJ209" s="5" t="str">
        <f>""</f>
        <v/>
      </c>
      <c r="AK209" s="8" t="str">
        <f t="shared" ref="AK209:BQ209" si="349">"х"</f>
        <v>х</v>
      </c>
      <c r="AL209" s="5" t="str">
        <f t="shared" si="349"/>
        <v>х</v>
      </c>
      <c r="AM209" s="5" t="str">
        <f t="shared" si="349"/>
        <v>х</v>
      </c>
      <c r="AN209" s="5" t="str">
        <f t="shared" si="349"/>
        <v>х</v>
      </c>
      <c r="AO209" s="5" t="str">
        <f t="shared" si="349"/>
        <v>х</v>
      </c>
      <c r="AP209" s="5" t="str">
        <f t="shared" si="349"/>
        <v>х</v>
      </c>
      <c r="AQ209" s="5" t="str">
        <f t="shared" si="349"/>
        <v>х</v>
      </c>
      <c r="AR209" s="5" t="str">
        <f t="shared" si="349"/>
        <v>х</v>
      </c>
      <c r="AS209" s="5" t="str">
        <f t="shared" si="349"/>
        <v>х</v>
      </c>
      <c r="AT209" s="5" t="str">
        <f t="shared" si="349"/>
        <v>х</v>
      </c>
      <c r="AU209" s="5" t="str">
        <f t="shared" si="349"/>
        <v>х</v>
      </c>
      <c r="AV209" s="5" t="str">
        <f t="shared" si="349"/>
        <v>х</v>
      </c>
      <c r="AW209" s="5" t="str">
        <f t="shared" si="349"/>
        <v>х</v>
      </c>
      <c r="AX209" s="5" t="str">
        <f t="shared" si="349"/>
        <v>х</v>
      </c>
      <c r="AY209" s="5" t="str">
        <f t="shared" si="349"/>
        <v>х</v>
      </c>
      <c r="AZ209" s="5" t="str">
        <f t="shared" si="349"/>
        <v>х</v>
      </c>
      <c r="BA209" s="5" t="str">
        <f t="shared" si="349"/>
        <v>х</v>
      </c>
      <c r="BB209" s="5" t="str">
        <f t="shared" si="349"/>
        <v>х</v>
      </c>
      <c r="BC209" s="5" t="str">
        <f t="shared" si="349"/>
        <v>х</v>
      </c>
      <c r="BD209" s="5" t="str">
        <f t="shared" si="349"/>
        <v>х</v>
      </c>
      <c r="BE209" s="5" t="str">
        <f t="shared" si="349"/>
        <v>х</v>
      </c>
      <c r="BF209" s="5" t="str">
        <f t="shared" si="349"/>
        <v>х</v>
      </c>
      <c r="BG209" s="5" t="str">
        <f t="shared" si="349"/>
        <v>х</v>
      </c>
      <c r="BH209" s="5" t="str">
        <f t="shared" si="349"/>
        <v>х</v>
      </c>
      <c r="BI209" s="5" t="str">
        <f t="shared" si="349"/>
        <v>х</v>
      </c>
      <c r="BJ209" s="5" t="str">
        <f t="shared" si="349"/>
        <v>х</v>
      </c>
      <c r="BK209" s="5" t="str">
        <f t="shared" si="349"/>
        <v>х</v>
      </c>
      <c r="BL209" s="5" t="str">
        <f t="shared" si="349"/>
        <v>х</v>
      </c>
      <c r="BM209" s="5" t="str">
        <f t="shared" si="349"/>
        <v>х</v>
      </c>
      <c r="BN209" s="5" t="str">
        <f t="shared" si="349"/>
        <v>х</v>
      </c>
      <c r="BO209" s="5" t="str">
        <f t="shared" si="349"/>
        <v>х</v>
      </c>
      <c r="BP209" s="5" t="str">
        <f t="shared" si="349"/>
        <v>х</v>
      </c>
      <c r="BQ209" s="5" t="str">
        <f t="shared" si="349"/>
        <v>х</v>
      </c>
      <c r="BR209" s="5" t="str">
        <f>"1960"</f>
        <v>1960</v>
      </c>
      <c r="BS209" s="5" t="str">
        <f>"70,00"</f>
        <v>70,00</v>
      </c>
      <c r="BT209" s="5" t="str">
        <f>"2019"</f>
        <v>2019</v>
      </c>
      <c r="BU209" s="5" t="str">
        <f t="shared" si="339"/>
        <v>нет</v>
      </c>
      <c r="BV209" s="5" t="str">
        <f t="shared" si="332"/>
        <v>x</v>
      </c>
      <c r="BW209" s="5" t="str">
        <f t="shared" si="332"/>
        <v>x</v>
      </c>
      <c r="BX209" s="5" t="str">
        <f t="shared" si="332"/>
        <v>x</v>
      </c>
      <c r="BY209" s="5" t="str">
        <f t="shared" si="338"/>
        <v>нет</v>
      </c>
      <c r="BZ209" s="5" t="str">
        <f t="shared" si="345"/>
        <v>x</v>
      </c>
      <c r="CA209" s="5" t="str">
        <f t="shared" si="345"/>
        <v>x</v>
      </c>
      <c r="CB209" s="5" t="str">
        <f t="shared" si="345"/>
        <v>x</v>
      </c>
      <c r="CC209" s="5" t="str">
        <f>"1960"</f>
        <v>1960</v>
      </c>
      <c r="CD209" s="5" t="str">
        <f>"60,00"</f>
        <v>60,00</v>
      </c>
      <c r="CE209" s="5" t="str">
        <f>"2021"</f>
        <v>2021</v>
      </c>
      <c r="CF209" s="5" t="str">
        <f>"1960"</f>
        <v>1960</v>
      </c>
      <c r="CG209" s="5" t="str">
        <f>"65,00"</f>
        <v>65,00</v>
      </c>
      <c r="CH209" s="5" t="str">
        <f>"2020"</f>
        <v>2020</v>
      </c>
      <c r="CI209" s="5" t="str">
        <f>"62,00"</f>
        <v>62,00</v>
      </c>
      <c r="CJ209" s="5" t="str">
        <f>"2021"</f>
        <v>2021</v>
      </c>
    </row>
    <row r="210" spans="1:88" ht="11.25" customHeight="1">
      <c r="A210" s="3" t="str">
        <f>"1.197"</f>
        <v>1.197</v>
      </c>
      <c r="B210" s="4" t="str">
        <f>"г. Грязовец, ул. Обнорского, д.29"</f>
        <v>г. Грязовец, ул. Обнорского, д.29</v>
      </c>
      <c r="C210" s="7" t="str">
        <f>"1978"</f>
        <v>1978</v>
      </c>
      <c r="D210" s="5" t="str">
        <f>"1978"</f>
        <v>1978</v>
      </c>
      <c r="E210" s="5" t="str">
        <f>"9,00"</f>
        <v>9,00</v>
      </c>
      <c r="F210" s="5" t="str">
        <f>"2035"</f>
        <v>2035</v>
      </c>
      <c r="G210" s="5" t="str">
        <f t="shared" ref="G210:G215" si="350">"нет"</f>
        <v>нет</v>
      </c>
      <c r="H210" s="5" t="str">
        <f>""</f>
        <v/>
      </c>
      <c r="I210" s="5" t="str">
        <f>""</f>
        <v/>
      </c>
      <c r="J210" s="5" t="str">
        <f>""</f>
        <v/>
      </c>
      <c r="K210" s="5" t="str">
        <f t="shared" ref="K210:K215" si="351">"нет"</f>
        <v>нет</v>
      </c>
      <c r="L210" s="5" t="str">
        <f>""</f>
        <v/>
      </c>
      <c r="M210" s="5" t="str">
        <f>""</f>
        <v/>
      </c>
      <c r="N210" s="5" t="str">
        <f>""</f>
        <v/>
      </c>
      <c r="O210" s="8" t="str">
        <f>"1978"</f>
        <v>1978</v>
      </c>
      <c r="P210" s="5" t="str">
        <f>"10,00"</f>
        <v>10,00</v>
      </c>
      <c r="Q210" s="5" t="str">
        <f>"2035"</f>
        <v>2035</v>
      </c>
      <c r="R210" s="5" t="str">
        <f>"нет"</f>
        <v>нет</v>
      </c>
      <c r="S210" s="5" t="str">
        <f t="shared" ref="S210:U222" si="352">"х"</f>
        <v>х</v>
      </c>
      <c r="T210" s="5" t="str">
        <f t="shared" si="352"/>
        <v>х</v>
      </c>
      <c r="U210" s="5" t="str">
        <f t="shared" si="352"/>
        <v>х</v>
      </c>
      <c r="V210" s="5" t="str">
        <f>"нет"</f>
        <v>нет</v>
      </c>
      <c r="W210" s="5" t="str">
        <f t="shared" ref="W210:Y222" si="353">"х"</f>
        <v>х</v>
      </c>
      <c r="X210" s="5" t="str">
        <f t="shared" si="353"/>
        <v>х</v>
      </c>
      <c r="Y210" s="9" t="str">
        <f t="shared" si="353"/>
        <v>х</v>
      </c>
      <c r="Z210" s="5" t="str">
        <f>"1978"</f>
        <v>1978</v>
      </c>
      <c r="AA210" s="5" t="str">
        <f>"11,00"</f>
        <v>11,00</v>
      </c>
      <c r="AB210" s="5" t="str">
        <f>"2034"</f>
        <v>2034</v>
      </c>
      <c r="AC210" s="5" t="str">
        <f t="shared" si="347"/>
        <v>нет</v>
      </c>
      <c r="AD210" s="5" t="str">
        <f>""</f>
        <v/>
      </c>
      <c r="AE210" s="5" t="str">
        <f>""</f>
        <v/>
      </c>
      <c r="AF210" s="5" t="str">
        <f>""</f>
        <v/>
      </c>
      <c r="AG210" s="5" t="str">
        <f t="shared" si="348"/>
        <v>нет</v>
      </c>
      <c r="AH210" s="5" t="str">
        <f>""</f>
        <v/>
      </c>
      <c r="AI210" s="5" t="str">
        <f>""</f>
        <v/>
      </c>
      <c r="AJ210" s="5" t="str">
        <f>""</f>
        <v/>
      </c>
      <c r="AK210" s="8" t="str">
        <f>"1978"</f>
        <v>1978</v>
      </c>
      <c r="AL210" s="5" t="str">
        <f>"12,00"</f>
        <v>12,00</v>
      </c>
      <c r="AM210" s="5" t="str">
        <f>"2034"</f>
        <v>2034</v>
      </c>
      <c r="AN210" s="5" t="str">
        <f t="shared" ref="AN210:AN215" si="354">"нет"</f>
        <v>нет</v>
      </c>
      <c r="AO210" s="5" t="str">
        <f t="shared" ref="AO210:AQ222" si="355">"х"</f>
        <v>х</v>
      </c>
      <c r="AP210" s="5" t="str">
        <f t="shared" si="355"/>
        <v>х</v>
      </c>
      <c r="AQ210" s="5" t="str">
        <f t="shared" si="355"/>
        <v>х</v>
      </c>
      <c r="AR210" s="5" t="str">
        <f t="shared" ref="AR210:AR215" si="356">"нет"</f>
        <v>нет</v>
      </c>
      <c r="AS210" s="5" t="str">
        <f t="shared" ref="AS210:AU222" si="357">"х"</f>
        <v>х</v>
      </c>
      <c r="AT210" s="5" t="str">
        <f t="shared" si="357"/>
        <v>х</v>
      </c>
      <c r="AU210" s="5" t="str">
        <f t="shared" si="357"/>
        <v>х</v>
      </c>
      <c r="AV210" s="5" t="str">
        <f>"1978"</f>
        <v>1978</v>
      </c>
      <c r="AW210" s="5" t="str">
        <f>"13,00"</f>
        <v>13,00</v>
      </c>
      <c r="AX210" s="5" t="str">
        <f>"2034"</f>
        <v>2034</v>
      </c>
      <c r="AY210" s="5" t="str">
        <f t="shared" ref="AY210:AY215" si="358">"нет"</f>
        <v>нет</v>
      </c>
      <c r="AZ210" s="5" t="str">
        <f t="shared" ref="AZ210:BB222" si="359">"х"</f>
        <v>х</v>
      </c>
      <c r="BA210" s="5" t="str">
        <f t="shared" si="359"/>
        <v>х</v>
      </c>
      <c r="BB210" s="5" t="str">
        <f t="shared" si="359"/>
        <v>х</v>
      </c>
      <c r="BC210" s="5" t="str">
        <f t="shared" ref="BC210:BC215" si="360">"нет"</f>
        <v>нет</v>
      </c>
      <c r="BD210" s="5" t="str">
        <f t="shared" ref="BD210:BF222" si="361">"х"</f>
        <v>х</v>
      </c>
      <c r="BE210" s="5" t="str">
        <f t="shared" si="361"/>
        <v>х</v>
      </c>
      <c r="BF210" s="5" t="str">
        <f t="shared" si="361"/>
        <v>х</v>
      </c>
      <c r="BG210" s="5" t="str">
        <f>"1978"</f>
        <v>1978</v>
      </c>
      <c r="BH210" s="5" t="str">
        <f>"12,00"</f>
        <v>12,00</v>
      </c>
      <c r="BI210" s="5" t="str">
        <f>"2034"</f>
        <v>2034</v>
      </c>
      <c r="BJ210" s="5" t="str">
        <f t="shared" ref="BJ210:BJ226" si="362">"нет"</f>
        <v>нет</v>
      </c>
      <c r="BK210" s="5" t="str">
        <f t="shared" ref="BK210:BM222" si="363">"х"</f>
        <v>х</v>
      </c>
      <c r="BL210" s="5" t="str">
        <f t="shared" si="363"/>
        <v>х</v>
      </c>
      <c r="BM210" s="5" t="str">
        <f t="shared" si="363"/>
        <v>х</v>
      </c>
      <c r="BN210" s="5" t="str">
        <f t="shared" ref="BN210:BN215" si="364">"нет"</f>
        <v>нет</v>
      </c>
      <c r="BO210" s="5" t="str">
        <f t="shared" ref="BO210:BQ222" si="365">"х"</f>
        <v>х</v>
      </c>
      <c r="BP210" s="5" t="str">
        <f t="shared" si="365"/>
        <v>х</v>
      </c>
      <c r="BQ210" s="5" t="str">
        <f t="shared" si="365"/>
        <v>х</v>
      </c>
      <c r="BR210" s="5" t="str">
        <f>"1978"</f>
        <v>1978</v>
      </c>
      <c r="BS210" s="5" t="str">
        <f>"12,00"</f>
        <v>12,00</v>
      </c>
      <c r="BT210" s="5" t="str">
        <f>"2034"</f>
        <v>2034</v>
      </c>
      <c r="BU210" s="5" t="str">
        <f t="shared" si="339"/>
        <v>нет</v>
      </c>
      <c r="BV210" s="5" t="str">
        <f t="shared" si="332"/>
        <v>x</v>
      </c>
      <c r="BW210" s="5" t="str">
        <f t="shared" si="332"/>
        <v>x</v>
      </c>
      <c r="BX210" s="5" t="str">
        <f t="shared" si="332"/>
        <v>x</v>
      </c>
      <c r="BY210" s="5" t="str">
        <f t="shared" si="338"/>
        <v>нет</v>
      </c>
      <c r="BZ210" s="5" t="str">
        <f>"1978"</f>
        <v>1978</v>
      </c>
      <c r="CA210" s="5" t="str">
        <f>"11,00"</f>
        <v>11,00</v>
      </c>
      <c r="CB210" s="5" t="str">
        <f>"2034"</f>
        <v>2034</v>
      </c>
      <c r="CC210" s="5" t="str">
        <f>"1978"</f>
        <v>1978</v>
      </c>
      <c r="CD210" s="5" t="str">
        <f>"12,00"</f>
        <v>12,00</v>
      </c>
      <c r="CE210" s="5" t="str">
        <f>"2034"</f>
        <v>2034</v>
      </c>
      <c r="CF210" s="5" t="str">
        <f>"1978"</f>
        <v>1978</v>
      </c>
      <c r="CG210" s="5" t="str">
        <f>"13,00"</f>
        <v>13,00</v>
      </c>
      <c r="CH210" s="5" t="str">
        <f>"2034"</f>
        <v>2034</v>
      </c>
      <c r="CI210" s="5" t="str">
        <f>"13,00"</f>
        <v>13,00</v>
      </c>
      <c r="CJ210" s="5" t="str">
        <f>"2035"</f>
        <v>2035</v>
      </c>
    </row>
    <row r="211" spans="1:88" ht="11.25" customHeight="1">
      <c r="A211" s="3" t="str">
        <f>"1.198"</f>
        <v>1.198</v>
      </c>
      <c r="B211" s="4" t="str">
        <f>"г. Грязовец, ул. Обнорского, д.7"</f>
        <v>г. Грязовец, ул. Обнорского, д.7</v>
      </c>
      <c r="C211" s="7" t="str">
        <f>"1917"</f>
        <v>1917</v>
      </c>
      <c r="D211" s="5" t="str">
        <f>"1917"</f>
        <v>1917</v>
      </c>
      <c r="E211" s="5" t="str">
        <f>"31,00"</f>
        <v>31,00</v>
      </c>
      <c r="F211" s="5" t="str">
        <f>"2030"</f>
        <v>2030</v>
      </c>
      <c r="G211" s="5" t="str">
        <f t="shared" si="350"/>
        <v>нет</v>
      </c>
      <c r="H211" s="5" t="str">
        <f>""</f>
        <v/>
      </c>
      <c r="I211" s="5" t="str">
        <f>""</f>
        <v/>
      </c>
      <c r="J211" s="5" t="str">
        <f>""</f>
        <v/>
      </c>
      <c r="K211" s="5" t="str">
        <f t="shared" si="351"/>
        <v>нет</v>
      </c>
      <c r="L211" s="5" t="str">
        <f>""</f>
        <v/>
      </c>
      <c r="M211" s="5" t="str">
        <f>""</f>
        <v/>
      </c>
      <c r="N211" s="5" t="str">
        <f>""</f>
        <v/>
      </c>
      <c r="O211" s="8" t="str">
        <f>"1917"</f>
        <v>1917</v>
      </c>
      <c r="P211" s="5" t="str">
        <f>"32,00"</f>
        <v>32,00</v>
      </c>
      <c r="Q211" s="5" t="str">
        <f>"2028"</f>
        <v>2028</v>
      </c>
      <c r="R211" s="5" t="str">
        <f>"нет"</f>
        <v>нет</v>
      </c>
      <c r="S211" s="5" t="str">
        <f t="shared" si="352"/>
        <v>х</v>
      </c>
      <c r="T211" s="5" t="str">
        <f t="shared" si="352"/>
        <v>х</v>
      </c>
      <c r="U211" s="5" t="str">
        <f t="shared" si="352"/>
        <v>х</v>
      </c>
      <c r="V211" s="5" t="str">
        <f>"нет"</f>
        <v>нет</v>
      </c>
      <c r="W211" s="5" t="str">
        <f t="shared" si="353"/>
        <v>х</v>
      </c>
      <c r="X211" s="5" t="str">
        <f t="shared" si="353"/>
        <v>х</v>
      </c>
      <c r="Y211" s="9" t="str">
        <f t="shared" si="353"/>
        <v>х</v>
      </c>
      <c r="Z211" s="5" t="str">
        <f>"1917"</f>
        <v>1917</v>
      </c>
      <c r="AA211" s="5" t="str">
        <f>"33,00"</f>
        <v>33,00</v>
      </c>
      <c r="AB211" s="5" t="str">
        <f>"2028"</f>
        <v>2028</v>
      </c>
      <c r="AC211" s="5" t="str">
        <f t="shared" si="347"/>
        <v>нет</v>
      </c>
      <c r="AD211" s="5" t="str">
        <f>"х"</f>
        <v>х</v>
      </c>
      <c r="AE211" s="5" t="str">
        <f>"х"</f>
        <v>х</v>
      </c>
      <c r="AF211" s="5" t="str">
        <f>"х"</f>
        <v>х</v>
      </c>
      <c r="AG211" s="5" t="str">
        <f t="shared" si="348"/>
        <v>нет</v>
      </c>
      <c r="AH211" s="5" t="str">
        <f>"х"</f>
        <v>х</v>
      </c>
      <c r="AI211" s="5" t="str">
        <f>"х"</f>
        <v>х</v>
      </c>
      <c r="AJ211" s="5" t="str">
        <f>"х"</f>
        <v>х</v>
      </c>
      <c r="AK211" s="8" t="str">
        <f>"1917"</f>
        <v>1917</v>
      </c>
      <c r="AL211" s="5" t="str">
        <f>"33,00"</f>
        <v>33,00</v>
      </c>
      <c r="AM211" s="5" t="str">
        <f>"2028"</f>
        <v>2028</v>
      </c>
      <c r="AN211" s="5" t="str">
        <f t="shared" si="354"/>
        <v>нет</v>
      </c>
      <c r="AO211" s="5" t="str">
        <f t="shared" si="355"/>
        <v>х</v>
      </c>
      <c r="AP211" s="5" t="str">
        <f t="shared" si="355"/>
        <v>х</v>
      </c>
      <c r="AQ211" s="5" t="str">
        <f t="shared" si="355"/>
        <v>х</v>
      </c>
      <c r="AR211" s="5" t="str">
        <f t="shared" si="356"/>
        <v>нет</v>
      </c>
      <c r="AS211" s="5" t="str">
        <f t="shared" si="357"/>
        <v>х</v>
      </c>
      <c r="AT211" s="5" t="str">
        <f t="shared" si="357"/>
        <v>х</v>
      </c>
      <c r="AU211" s="5" t="str">
        <f t="shared" si="357"/>
        <v>х</v>
      </c>
      <c r="AV211" s="5" t="str">
        <f>"1917"</f>
        <v>1917</v>
      </c>
      <c r="AW211" s="5" t="str">
        <f>"30,00"</f>
        <v>30,00</v>
      </c>
      <c r="AX211" s="5" t="str">
        <f>"2028"</f>
        <v>2028</v>
      </c>
      <c r="AY211" s="5" t="str">
        <f t="shared" si="358"/>
        <v>нет</v>
      </c>
      <c r="AZ211" s="5" t="str">
        <f t="shared" si="359"/>
        <v>х</v>
      </c>
      <c r="BA211" s="5" t="str">
        <f t="shared" si="359"/>
        <v>х</v>
      </c>
      <c r="BB211" s="5" t="str">
        <f t="shared" si="359"/>
        <v>х</v>
      </c>
      <c r="BC211" s="5" t="str">
        <f t="shared" si="360"/>
        <v>нет</v>
      </c>
      <c r="BD211" s="5" t="str">
        <f t="shared" si="361"/>
        <v>х</v>
      </c>
      <c r="BE211" s="5" t="str">
        <f t="shared" si="361"/>
        <v>х</v>
      </c>
      <c r="BF211" s="5" t="str">
        <f t="shared" si="361"/>
        <v>х</v>
      </c>
      <c r="BG211" s="5" t="str">
        <f>"1917"</f>
        <v>1917</v>
      </c>
      <c r="BH211" s="5" t="str">
        <f>"34,00"</f>
        <v>34,00</v>
      </c>
      <c r="BI211" s="5" t="str">
        <f>"2028"</f>
        <v>2028</v>
      </c>
      <c r="BJ211" s="5" t="str">
        <f t="shared" si="362"/>
        <v>нет</v>
      </c>
      <c r="BK211" s="5" t="str">
        <f t="shared" si="363"/>
        <v>х</v>
      </c>
      <c r="BL211" s="5" t="str">
        <f t="shared" si="363"/>
        <v>х</v>
      </c>
      <c r="BM211" s="5" t="str">
        <f t="shared" si="363"/>
        <v>х</v>
      </c>
      <c r="BN211" s="5" t="str">
        <f t="shared" si="364"/>
        <v>нет</v>
      </c>
      <c r="BO211" s="5" t="str">
        <f t="shared" si="365"/>
        <v>х</v>
      </c>
      <c r="BP211" s="5" t="str">
        <f t="shared" si="365"/>
        <v>х</v>
      </c>
      <c r="BQ211" s="5" t="str">
        <f t="shared" si="365"/>
        <v>х</v>
      </c>
      <c r="BR211" s="5" t="str">
        <f>"1917"</f>
        <v>1917</v>
      </c>
      <c r="BS211" s="5" t="str">
        <f>"36,00"</f>
        <v>36,00</v>
      </c>
      <c r="BT211" s="5" t="str">
        <f>"2025"</f>
        <v>2025</v>
      </c>
      <c r="BU211" s="5" t="str">
        <f t="shared" si="339"/>
        <v>нет</v>
      </c>
      <c r="BV211" s="5" t="str">
        <f t="shared" si="332"/>
        <v>x</v>
      </c>
      <c r="BW211" s="5" t="str">
        <f t="shared" si="332"/>
        <v>x</v>
      </c>
      <c r="BX211" s="5" t="str">
        <f t="shared" si="332"/>
        <v>x</v>
      </c>
      <c r="BY211" s="5" t="str">
        <f t="shared" si="338"/>
        <v>нет</v>
      </c>
      <c r="BZ211" s="5" t="str">
        <f>"1917"</f>
        <v>1917</v>
      </c>
      <c r="CA211" s="5" t="str">
        <f>"36,00"</f>
        <v>36,00</v>
      </c>
      <c r="CB211" s="5" t="str">
        <f>"2025"</f>
        <v>2025</v>
      </c>
      <c r="CC211" s="5" t="str">
        <f>"1917"</f>
        <v>1917</v>
      </c>
      <c r="CD211" s="5" t="str">
        <f>"38,00"</f>
        <v>38,00</v>
      </c>
      <c r="CE211" s="5" t="str">
        <f>"2025"</f>
        <v>2025</v>
      </c>
      <c r="CF211" s="5" t="str">
        <f>"1917"</f>
        <v>1917</v>
      </c>
      <c r="CG211" s="5" t="str">
        <f>"39,00"</f>
        <v>39,00</v>
      </c>
      <c r="CH211" s="5" t="str">
        <f>"2025"</f>
        <v>2025</v>
      </c>
      <c r="CI211" s="5" t="str">
        <f>"39,00"</f>
        <v>39,00</v>
      </c>
      <c r="CJ211" s="5" t="str">
        <f>"2030"</f>
        <v>2030</v>
      </c>
    </row>
    <row r="212" spans="1:88" ht="11.25" customHeight="1">
      <c r="A212" s="3" t="str">
        <f>"1.199"</f>
        <v>1.199</v>
      </c>
      <c r="B212" s="4" t="str">
        <f>"г. Грязовец, ул. Обнорского, д.85"</f>
        <v>г. Грязовец, ул. Обнорского, д.85</v>
      </c>
      <c r="C212" s="7" t="str">
        <f>"1875"</f>
        <v>1875</v>
      </c>
      <c r="D212" s="5" t="str">
        <f>"1875"</f>
        <v>1875</v>
      </c>
      <c r="E212" s="5" t="str">
        <f>"69,00"</f>
        <v>69,00</v>
      </c>
      <c r="F212" s="5" t="str">
        <f>"2022"</f>
        <v>2022</v>
      </c>
      <c r="G212" s="5" t="str">
        <f t="shared" si="350"/>
        <v>нет</v>
      </c>
      <c r="H212" s="5" t="str">
        <f>""</f>
        <v/>
      </c>
      <c r="I212" s="5" t="str">
        <f>""</f>
        <v/>
      </c>
      <c r="J212" s="5" t="str">
        <f>""</f>
        <v/>
      </c>
      <c r="K212" s="5" t="str">
        <f t="shared" si="351"/>
        <v>нет</v>
      </c>
      <c r="L212" s="5" t="str">
        <f>""</f>
        <v/>
      </c>
      <c r="M212" s="5" t="str">
        <f>""</f>
        <v/>
      </c>
      <c r="N212" s="5" t="str">
        <f>""</f>
        <v/>
      </c>
      <c r="O212" s="8" t="str">
        <f>"1875"</f>
        <v>1875</v>
      </c>
      <c r="P212" s="5" t="str">
        <f>"68,00"</f>
        <v>68,00</v>
      </c>
      <c r="Q212" s="5" t="str">
        <f>"2020"</f>
        <v>2020</v>
      </c>
      <c r="R212" s="5" t="str">
        <f>"х"</f>
        <v>х</v>
      </c>
      <c r="S212" s="5" t="str">
        <f t="shared" si="352"/>
        <v>х</v>
      </c>
      <c r="T212" s="5" t="str">
        <f t="shared" si="352"/>
        <v>х</v>
      </c>
      <c r="U212" s="5" t="str">
        <f t="shared" si="352"/>
        <v>х</v>
      </c>
      <c r="V212" s="5" t="str">
        <f>"х"</f>
        <v>х</v>
      </c>
      <c r="W212" s="5" t="str">
        <f t="shared" si="353"/>
        <v>х</v>
      </c>
      <c r="X212" s="5" t="str">
        <f t="shared" si="353"/>
        <v>х</v>
      </c>
      <c r="Y212" s="9" t="str">
        <f t="shared" si="353"/>
        <v>х</v>
      </c>
      <c r="Z212" s="5" t="str">
        <f>"1875"</f>
        <v>1875</v>
      </c>
      <c r="AA212" s="5" t="str">
        <f>"70,00"</f>
        <v>70,00</v>
      </c>
      <c r="AB212" s="5" t="str">
        <f>"2020"</f>
        <v>2020</v>
      </c>
      <c r="AC212" s="5" t="str">
        <f t="shared" si="347"/>
        <v>нет</v>
      </c>
      <c r="AD212" s="5" t="str">
        <f>""</f>
        <v/>
      </c>
      <c r="AE212" s="5" t="str">
        <f>""</f>
        <v/>
      </c>
      <c r="AF212" s="5" t="str">
        <f>""</f>
        <v/>
      </c>
      <c r="AG212" s="5" t="str">
        <f t="shared" si="348"/>
        <v>нет</v>
      </c>
      <c r="AH212" s="5" t="str">
        <f>""</f>
        <v/>
      </c>
      <c r="AI212" s="5" t="str">
        <f>""</f>
        <v/>
      </c>
      <c r="AJ212" s="5" t="str">
        <f>""</f>
        <v/>
      </c>
      <c r="AK212" s="8" t="str">
        <f>"1875"</f>
        <v>1875</v>
      </c>
      <c r="AL212" s="5" t="str">
        <f>"72,00"</f>
        <v>72,00</v>
      </c>
      <c r="AM212" s="5" t="str">
        <f>"2023"</f>
        <v>2023</v>
      </c>
      <c r="AN212" s="5" t="str">
        <f t="shared" si="354"/>
        <v>нет</v>
      </c>
      <c r="AO212" s="5" t="str">
        <f t="shared" si="355"/>
        <v>х</v>
      </c>
      <c r="AP212" s="5" t="str">
        <f t="shared" si="355"/>
        <v>х</v>
      </c>
      <c r="AQ212" s="5" t="str">
        <f t="shared" si="355"/>
        <v>х</v>
      </c>
      <c r="AR212" s="5" t="str">
        <f t="shared" si="356"/>
        <v>нет</v>
      </c>
      <c r="AS212" s="5" t="str">
        <f t="shared" si="357"/>
        <v>х</v>
      </c>
      <c r="AT212" s="5" t="str">
        <f t="shared" si="357"/>
        <v>х</v>
      </c>
      <c r="AU212" s="5" t="str">
        <f t="shared" si="357"/>
        <v>х</v>
      </c>
      <c r="AV212" s="5" t="str">
        <f>"1875"</f>
        <v>1875</v>
      </c>
      <c r="AW212" s="5" t="str">
        <f>"70,00"</f>
        <v>70,00</v>
      </c>
      <c r="AX212" s="5" t="str">
        <f>"2022"</f>
        <v>2022</v>
      </c>
      <c r="AY212" s="5" t="str">
        <f t="shared" si="358"/>
        <v>нет</v>
      </c>
      <c r="AZ212" s="5" t="str">
        <f t="shared" si="359"/>
        <v>х</v>
      </c>
      <c r="BA212" s="5" t="str">
        <f t="shared" si="359"/>
        <v>х</v>
      </c>
      <c r="BB212" s="5" t="str">
        <f t="shared" si="359"/>
        <v>х</v>
      </c>
      <c r="BC212" s="5" t="str">
        <f t="shared" si="360"/>
        <v>нет</v>
      </c>
      <c r="BD212" s="5" t="str">
        <f t="shared" si="361"/>
        <v>х</v>
      </c>
      <c r="BE212" s="5" t="str">
        <f t="shared" si="361"/>
        <v>х</v>
      </c>
      <c r="BF212" s="5" t="str">
        <f t="shared" si="361"/>
        <v>х</v>
      </c>
      <c r="BG212" s="5" t="str">
        <f>"1875"</f>
        <v>1875</v>
      </c>
      <c r="BH212" s="5" t="str">
        <f>"72,00"</f>
        <v>72,00</v>
      </c>
      <c r="BI212" s="5" t="str">
        <f>"2022"</f>
        <v>2022</v>
      </c>
      <c r="BJ212" s="5" t="str">
        <f t="shared" si="362"/>
        <v>нет</v>
      </c>
      <c r="BK212" s="5" t="str">
        <f t="shared" si="363"/>
        <v>х</v>
      </c>
      <c r="BL212" s="5" t="str">
        <f t="shared" si="363"/>
        <v>х</v>
      </c>
      <c r="BM212" s="5" t="str">
        <f t="shared" si="363"/>
        <v>х</v>
      </c>
      <c r="BN212" s="5" t="str">
        <f t="shared" si="364"/>
        <v>нет</v>
      </c>
      <c r="BO212" s="5" t="str">
        <f t="shared" si="365"/>
        <v>х</v>
      </c>
      <c r="BP212" s="5" t="str">
        <f t="shared" si="365"/>
        <v>х</v>
      </c>
      <c r="BQ212" s="5" t="str">
        <f t="shared" si="365"/>
        <v>х</v>
      </c>
      <c r="BR212" s="5" t="str">
        <f>"1875"</f>
        <v>1875</v>
      </c>
      <c r="BS212" s="5" t="str">
        <f>"73,00"</f>
        <v>73,00</v>
      </c>
      <c r="BT212" s="5" t="str">
        <f>"2022"</f>
        <v>2022</v>
      </c>
      <c r="BU212" s="5" t="str">
        <f t="shared" si="339"/>
        <v>нет</v>
      </c>
      <c r="BV212" s="5" t="str">
        <f t="shared" si="332"/>
        <v>x</v>
      </c>
      <c r="BW212" s="5" t="str">
        <f t="shared" si="332"/>
        <v>x</v>
      </c>
      <c r="BX212" s="5" t="str">
        <f t="shared" si="332"/>
        <v>x</v>
      </c>
      <c r="BY212" s="5" t="str">
        <f t="shared" si="338"/>
        <v>нет</v>
      </c>
      <c r="BZ212" s="5" t="str">
        <f>"1875"</f>
        <v>1875</v>
      </c>
      <c r="CA212" s="5" t="str">
        <f>"74,00"</f>
        <v>74,00</v>
      </c>
      <c r="CB212" s="5" t="str">
        <f>"2023"</f>
        <v>2023</v>
      </c>
      <c r="CC212" s="5" t="str">
        <f>"1875"</f>
        <v>1875</v>
      </c>
      <c r="CD212" s="5" t="str">
        <f>"74,00"</f>
        <v>74,00</v>
      </c>
      <c r="CE212" s="5" t="str">
        <f>"2022"</f>
        <v>2022</v>
      </c>
      <c r="CF212" s="5" t="str">
        <f>"1875"</f>
        <v>1875</v>
      </c>
      <c r="CG212" s="5" t="str">
        <f>"75,00"</f>
        <v>75,00</v>
      </c>
      <c r="CH212" s="5" t="str">
        <f>"2023"</f>
        <v>2023</v>
      </c>
      <c r="CI212" s="5" t="str">
        <f>"75,00"</f>
        <v>75,00</v>
      </c>
      <c r="CJ212" s="5" t="str">
        <f>"2023"</f>
        <v>2023</v>
      </c>
    </row>
    <row r="213" spans="1:88" ht="11.25" customHeight="1">
      <c r="A213" s="3" t="str">
        <f>"1.200"</f>
        <v>1.200</v>
      </c>
      <c r="B213" s="4" t="str">
        <f>"г. Грязовец, ул. Обнорского, д.90"</f>
        <v>г. Грязовец, ул. Обнорского, д.90</v>
      </c>
      <c r="C213" s="7" t="str">
        <f>"1955"</f>
        <v>1955</v>
      </c>
      <c r="D213" s="5" t="str">
        <f>"1955"</f>
        <v>1955</v>
      </c>
      <c r="E213" s="5" t="str">
        <f>"55,00"</f>
        <v>55,00</v>
      </c>
      <c r="F213" s="5" t="str">
        <f>"2021"</f>
        <v>2021</v>
      </c>
      <c r="G213" s="5" t="str">
        <f t="shared" si="350"/>
        <v>нет</v>
      </c>
      <c r="H213" s="5" t="str">
        <f>""</f>
        <v/>
      </c>
      <c r="I213" s="5" t="str">
        <f>""</f>
        <v/>
      </c>
      <c r="J213" s="5" t="str">
        <f>""</f>
        <v/>
      </c>
      <c r="K213" s="5" t="str">
        <f t="shared" si="351"/>
        <v>нет</v>
      </c>
      <c r="L213" s="5" t="str">
        <f>""</f>
        <v/>
      </c>
      <c r="M213" s="5" t="str">
        <f>""</f>
        <v/>
      </c>
      <c r="N213" s="5" t="str">
        <f>""</f>
        <v/>
      </c>
      <c r="O213" s="8" t="str">
        <f>"1955"</f>
        <v>1955</v>
      </c>
      <c r="P213" s="5" t="str">
        <f>"56,00"</f>
        <v>56,00</v>
      </c>
      <c r="Q213" s="5" t="str">
        <f>"2020"</f>
        <v>2020</v>
      </c>
      <c r="R213" s="5" t="str">
        <f t="shared" ref="R213:R226" si="366">"нет"</f>
        <v>нет</v>
      </c>
      <c r="S213" s="5" t="str">
        <f t="shared" si="352"/>
        <v>х</v>
      </c>
      <c r="T213" s="5" t="str">
        <f t="shared" si="352"/>
        <v>х</v>
      </c>
      <c r="U213" s="5" t="str">
        <f t="shared" si="352"/>
        <v>х</v>
      </c>
      <c r="V213" s="5" t="str">
        <f>"нет"</f>
        <v>нет</v>
      </c>
      <c r="W213" s="5" t="str">
        <f t="shared" si="353"/>
        <v>х</v>
      </c>
      <c r="X213" s="5" t="str">
        <f t="shared" si="353"/>
        <v>х</v>
      </c>
      <c r="Y213" s="9" t="str">
        <f t="shared" si="353"/>
        <v>х</v>
      </c>
      <c r="Z213" s="5" t="str">
        <f>"1955"</f>
        <v>1955</v>
      </c>
      <c r="AA213" s="5" t="str">
        <f>"54,00"</f>
        <v>54,00</v>
      </c>
      <c r="AB213" s="5" t="str">
        <f>"2020"</f>
        <v>2020</v>
      </c>
      <c r="AC213" s="5" t="str">
        <f t="shared" si="347"/>
        <v>нет</v>
      </c>
      <c r="AD213" s="5" t="str">
        <f>""</f>
        <v/>
      </c>
      <c r="AE213" s="5" t="str">
        <f>""</f>
        <v/>
      </c>
      <c r="AF213" s="5" t="str">
        <f>""</f>
        <v/>
      </c>
      <c r="AG213" s="5" t="str">
        <f t="shared" si="348"/>
        <v>нет</v>
      </c>
      <c r="AH213" s="5" t="str">
        <f>""</f>
        <v/>
      </c>
      <c r="AI213" s="5" t="str">
        <f>""</f>
        <v/>
      </c>
      <c r="AJ213" s="5" t="str">
        <f>""</f>
        <v/>
      </c>
      <c r="AK213" s="8" t="str">
        <f>"1955"</f>
        <v>1955</v>
      </c>
      <c r="AL213" s="5" t="str">
        <f>"56,00"</f>
        <v>56,00</v>
      </c>
      <c r="AM213" s="5" t="str">
        <f>"2021"</f>
        <v>2021</v>
      </c>
      <c r="AN213" s="5" t="str">
        <f t="shared" si="354"/>
        <v>нет</v>
      </c>
      <c r="AO213" s="5" t="str">
        <f t="shared" si="355"/>
        <v>х</v>
      </c>
      <c r="AP213" s="5" t="str">
        <f t="shared" si="355"/>
        <v>х</v>
      </c>
      <c r="AQ213" s="5" t="str">
        <f t="shared" si="355"/>
        <v>х</v>
      </c>
      <c r="AR213" s="5" t="str">
        <f t="shared" si="356"/>
        <v>нет</v>
      </c>
      <c r="AS213" s="5" t="str">
        <f t="shared" si="357"/>
        <v>х</v>
      </c>
      <c r="AT213" s="5" t="str">
        <f t="shared" si="357"/>
        <v>х</v>
      </c>
      <c r="AU213" s="5" t="str">
        <f t="shared" si="357"/>
        <v>х</v>
      </c>
      <c r="AV213" s="5" t="str">
        <f>"1955"</f>
        <v>1955</v>
      </c>
      <c r="AW213" s="5" t="str">
        <f>"57,00"</f>
        <v>57,00</v>
      </c>
      <c r="AX213" s="5" t="str">
        <f>"2020"</f>
        <v>2020</v>
      </c>
      <c r="AY213" s="5" t="str">
        <f t="shared" si="358"/>
        <v>нет</v>
      </c>
      <c r="AZ213" s="5" t="str">
        <f t="shared" si="359"/>
        <v>х</v>
      </c>
      <c r="BA213" s="5" t="str">
        <f t="shared" si="359"/>
        <v>х</v>
      </c>
      <c r="BB213" s="5" t="str">
        <f t="shared" si="359"/>
        <v>х</v>
      </c>
      <c r="BC213" s="5" t="str">
        <f t="shared" si="360"/>
        <v>нет</v>
      </c>
      <c r="BD213" s="5" t="str">
        <f t="shared" si="361"/>
        <v>х</v>
      </c>
      <c r="BE213" s="5" t="str">
        <f t="shared" si="361"/>
        <v>х</v>
      </c>
      <c r="BF213" s="5" t="str">
        <f t="shared" si="361"/>
        <v>х</v>
      </c>
      <c r="BG213" s="5" t="str">
        <f>"1955"</f>
        <v>1955</v>
      </c>
      <c r="BH213" s="5" t="str">
        <f>"58,00"</f>
        <v>58,00</v>
      </c>
      <c r="BI213" s="5" t="str">
        <f>"2021"</f>
        <v>2021</v>
      </c>
      <c r="BJ213" s="5" t="str">
        <f t="shared" si="362"/>
        <v>нет</v>
      </c>
      <c r="BK213" s="5" t="str">
        <f t="shared" si="363"/>
        <v>х</v>
      </c>
      <c r="BL213" s="5" t="str">
        <f t="shared" si="363"/>
        <v>х</v>
      </c>
      <c r="BM213" s="5" t="str">
        <f t="shared" si="363"/>
        <v>х</v>
      </c>
      <c r="BN213" s="5" t="str">
        <f t="shared" si="364"/>
        <v>нет</v>
      </c>
      <c r="BO213" s="5" t="str">
        <f t="shared" si="365"/>
        <v>х</v>
      </c>
      <c r="BP213" s="5" t="str">
        <f t="shared" si="365"/>
        <v>х</v>
      </c>
      <c r="BQ213" s="5" t="str">
        <f t="shared" si="365"/>
        <v>х</v>
      </c>
      <c r="BR213" s="5" t="str">
        <f>"1955"</f>
        <v>1955</v>
      </c>
      <c r="BS213" s="5" t="str">
        <f>"58,00"</f>
        <v>58,00</v>
      </c>
      <c r="BT213" s="5" t="str">
        <f>"2021"</f>
        <v>2021</v>
      </c>
      <c r="BU213" s="5" t="str">
        <f t="shared" si="339"/>
        <v>нет</v>
      </c>
      <c r="BV213" s="5" t="str">
        <f t="shared" si="332"/>
        <v>x</v>
      </c>
      <c r="BW213" s="5" t="str">
        <f t="shared" si="332"/>
        <v>x</v>
      </c>
      <c r="BX213" s="5" t="str">
        <f t="shared" si="332"/>
        <v>x</v>
      </c>
      <c r="BY213" s="5" t="str">
        <f t="shared" si="338"/>
        <v>нет</v>
      </c>
      <c r="BZ213" s="5" t="str">
        <f>"1955"</f>
        <v>1955</v>
      </c>
      <c r="CA213" s="5" t="str">
        <f>"57,00"</f>
        <v>57,00</v>
      </c>
      <c r="CB213" s="5" t="str">
        <f>"2020"</f>
        <v>2020</v>
      </c>
      <c r="CC213" s="5" t="str">
        <f>"1955"</f>
        <v>1955</v>
      </c>
      <c r="CD213" s="5" t="str">
        <f>"58,00"</f>
        <v>58,00</v>
      </c>
      <c r="CE213" s="5" t="str">
        <f>"2021"</f>
        <v>2021</v>
      </c>
      <c r="CF213" s="5" t="str">
        <f>"1955"</f>
        <v>1955</v>
      </c>
      <c r="CG213" s="5" t="str">
        <f>"60,00"</f>
        <v>60,00</v>
      </c>
      <c r="CH213" s="5" t="str">
        <f>"2020"</f>
        <v>2020</v>
      </c>
      <c r="CI213" s="5" t="str">
        <f>"60,00"</f>
        <v>60,00</v>
      </c>
      <c r="CJ213" s="5" t="str">
        <f>"2021"</f>
        <v>2021</v>
      </c>
    </row>
    <row r="214" spans="1:88" ht="11.25" customHeight="1">
      <c r="A214" s="3" t="str">
        <f>"1.201"</f>
        <v>1.201</v>
      </c>
      <c r="B214" s="4" t="str">
        <f>"г. Грязовец, ул. Обнорского, д.93"</f>
        <v>г. Грязовец, ул. Обнорского, д.93</v>
      </c>
      <c r="C214" s="7" t="str">
        <f>"1963"</f>
        <v>1963</v>
      </c>
      <c r="D214" s="5" t="str">
        <f>"1963"</f>
        <v>1963</v>
      </c>
      <c r="E214" s="5" t="str">
        <f>"46,00"</f>
        <v>46,00</v>
      </c>
      <c r="F214" s="5" t="str">
        <f>"2018"</f>
        <v>2018</v>
      </c>
      <c r="G214" s="5" t="str">
        <f t="shared" si="350"/>
        <v>нет</v>
      </c>
      <c r="H214" s="5" t="str">
        <f>""</f>
        <v/>
      </c>
      <c r="I214" s="5" t="str">
        <f>""</f>
        <v/>
      </c>
      <c r="J214" s="5" t="str">
        <f>""</f>
        <v/>
      </c>
      <c r="K214" s="5" t="str">
        <f t="shared" si="351"/>
        <v>нет</v>
      </c>
      <c r="L214" s="5" t="str">
        <f>""</f>
        <v/>
      </c>
      <c r="M214" s="5" t="str">
        <f>""</f>
        <v/>
      </c>
      <c r="N214" s="5" t="str">
        <f>""</f>
        <v/>
      </c>
      <c r="O214" s="8" t="str">
        <f>"1963"</f>
        <v>1963</v>
      </c>
      <c r="P214" s="5" t="str">
        <f>"48,00"</f>
        <v>48,00</v>
      </c>
      <c r="Q214" s="5" t="str">
        <f>"2020"</f>
        <v>2020</v>
      </c>
      <c r="R214" s="5" t="str">
        <f t="shared" si="366"/>
        <v>нет</v>
      </c>
      <c r="S214" s="5" t="str">
        <f t="shared" si="352"/>
        <v>х</v>
      </c>
      <c r="T214" s="5" t="str">
        <f t="shared" si="352"/>
        <v>х</v>
      </c>
      <c r="U214" s="5" t="str">
        <f t="shared" si="352"/>
        <v>х</v>
      </c>
      <c r="V214" s="5" t="str">
        <f>"нет"</f>
        <v>нет</v>
      </c>
      <c r="W214" s="5" t="str">
        <f t="shared" si="353"/>
        <v>х</v>
      </c>
      <c r="X214" s="5" t="str">
        <f t="shared" si="353"/>
        <v>х</v>
      </c>
      <c r="Y214" s="9" t="str">
        <f t="shared" si="353"/>
        <v>х</v>
      </c>
      <c r="Z214" s="5" t="str">
        <f>"1963"</f>
        <v>1963</v>
      </c>
      <c r="AA214" s="5" t="str">
        <f>"50,00"</f>
        <v>50,00</v>
      </c>
      <c r="AB214" s="5" t="str">
        <f>"2019"</f>
        <v>2019</v>
      </c>
      <c r="AC214" s="5" t="str">
        <f t="shared" si="347"/>
        <v>нет</v>
      </c>
      <c r="AD214" s="5" t="str">
        <f>"х"</f>
        <v>х</v>
      </c>
      <c r="AE214" s="5" t="str">
        <f>"х"</f>
        <v>х</v>
      </c>
      <c r="AF214" s="5" t="str">
        <f>"х"</f>
        <v>х</v>
      </c>
      <c r="AG214" s="5" t="str">
        <f t="shared" si="348"/>
        <v>нет</v>
      </c>
      <c r="AH214" s="5" t="str">
        <f>"х"</f>
        <v>х</v>
      </c>
      <c r="AI214" s="5" t="str">
        <f>"х"</f>
        <v>х</v>
      </c>
      <c r="AJ214" s="5" t="str">
        <f>"х"</f>
        <v>х</v>
      </c>
      <c r="AK214" s="8" t="str">
        <f>"1963"</f>
        <v>1963</v>
      </c>
      <c r="AL214" s="5" t="str">
        <f>"48,00"</f>
        <v>48,00</v>
      </c>
      <c r="AM214" s="5" t="str">
        <f>"2019"</f>
        <v>2019</v>
      </c>
      <c r="AN214" s="5" t="str">
        <f t="shared" si="354"/>
        <v>нет</v>
      </c>
      <c r="AO214" s="5" t="str">
        <f t="shared" si="355"/>
        <v>х</v>
      </c>
      <c r="AP214" s="5" t="str">
        <f t="shared" si="355"/>
        <v>х</v>
      </c>
      <c r="AQ214" s="5" t="str">
        <f t="shared" si="355"/>
        <v>х</v>
      </c>
      <c r="AR214" s="5" t="str">
        <f t="shared" si="356"/>
        <v>нет</v>
      </c>
      <c r="AS214" s="5" t="str">
        <f t="shared" si="357"/>
        <v>х</v>
      </c>
      <c r="AT214" s="5" t="str">
        <f t="shared" si="357"/>
        <v>х</v>
      </c>
      <c r="AU214" s="5" t="str">
        <f t="shared" si="357"/>
        <v>х</v>
      </c>
      <c r="AV214" s="5" t="str">
        <f>"1963"</f>
        <v>1963</v>
      </c>
      <c r="AW214" s="5" t="str">
        <f>"47,00"</f>
        <v>47,00</v>
      </c>
      <c r="AX214" s="5" t="str">
        <f>"2020"</f>
        <v>2020</v>
      </c>
      <c r="AY214" s="5" t="str">
        <f t="shared" si="358"/>
        <v>нет</v>
      </c>
      <c r="AZ214" s="5" t="str">
        <f t="shared" si="359"/>
        <v>х</v>
      </c>
      <c r="BA214" s="5" t="str">
        <f t="shared" si="359"/>
        <v>х</v>
      </c>
      <c r="BB214" s="5" t="str">
        <f t="shared" si="359"/>
        <v>х</v>
      </c>
      <c r="BC214" s="5" t="str">
        <f t="shared" si="360"/>
        <v>нет</v>
      </c>
      <c r="BD214" s="5" t="str">
        <f t="shared" si="361"/>
        <v>х</v>
      </c>
      <c r="BE214" s="5" t="str">
        <f t="shared" si="361"/>
        <v>х</v>
      </c>
      <c r="BF214" s="5" t="str">
        <f t="shared" si="361"/>
        <v>х</v>
      </c>
      <c r="BG214" s="5" t="str">
        <f>"1963"</f>
        <v>1963</v>
      </c>
      <c r="BH214" s="5" t="str">
        <f>"47,00"</f>
        <v>47,00</v>
      </c>
      <c r="BI214" s="5" t="str">
        <f>"2019"</f>
        <v>2019</v>
      </c>
      <c r="BJ214" s="5" t="str">
        <f t="shared" si="362"/>
        <v>нет</v>
      </c>
      <c r="BK214" s="5" t="str">
        <f t="shared" si="363"/>
        <v>х</v>
      </c>
      <c r="BL214" s="5" t="str">
        <f t="shared" si="363"/>
        <v>х</v>
      </c>
      <c r="BM214" s="5" t="str">
        <f t="shared" si="363"/>
        <v>х</v>
      </c>
      <c r="BN214" s="5" t="str">
        <f t="shared" si="364"/>
        <v>нет</v>
      </c>
      <c r="BO214" s="5" t="str">
        <f t="shared" si="365"/>
        <v>х</v>
      </c>
      <c r="BP214" s="5" t="str">
        <f t="shared" si="365"/>
        <v>х</v>
      </c>
      <c r="BQ214" s="5" t="str">
        <f t="shared" si="365"/>
        <v>х</v>
      </c>
      <c r="BR214" s="5" t="str">
        <f>"1963"</f>
        <v>1963</v>
      </c>
      <c r="BS214" s="5" t="str">
        <f>"45,00"</f>
        <v>45,00</v>
      </c>
      <c r="BT214" s="5" t="str">
        <f>"2019"</f>
        <v>2019</v>
      </c>
      <c r="BU214" s="5" t="str">
        <f t="shared" si="339"/>
        <v>нет</v>
      </c>
      <c r="BV214" s="5" t="str">
        <f t="shared" ref="BV214:BX233" si="367">"x"</f>
        <v>x</v>
      </c>
      <c r="BW214" s="5" t="str">
        <f t="shared" si="367"/>
        <v>x</v>
      </c>
      <c r="BX214" s="5" t="str">
        <f t="shared" si="367"/>
        <v>x</v>
      </c>
      <c r="BY214" s="5" t="str">
        <f t="shared" si="338"/>
        <v>нет</v>
      </c>
      <c r="BZ214" s="5" t="str">
        <f>"1963"</f>
        <v>1963</v>
      </c>
      <c r="CA214" s="5" t="str">
        <f>"49,00"</f>
        <v>49,00</v>
      </c>
      <c r="CB214" s="5" t="str">
        <f>"2019"</f>
        <v>2019</v>
      </c>
      <c r="CC214" s="5" t="str">
        <f>"1963"</f>
        <v>1963</v>
      </c>
      <c r="CD214" s="5" t="str">
        <f>"43,00"</f>
        <v>43,00</v>
      </c>
      <c r="CE214" s="5" t="str">
        <f>"2020"</f>
        <v>2020</v>
      </c>
      <c r="CF214" s="5" t="str">
        <f>"1963"</f>
        <v>1963</v>
      </c>
      <c r="CG214" s="5" t="str">
        <f>"51,00"</f>
        <v>51,00</v>
      </c>
      <c r="CH214" s="5" t="str">
        <f>"2018"</f>
        <v>2018</v>
      </c>
      <c r="CI214" s="5" t="str">
        <f>"51,00"</f>
        <v>51,00</v>
      </c>
      <c r="CJ214" s="5" t="str">
        <f>"2020"</f>
        <v>2020</v>
      </c>
    </row>
    <row r="215" spans="1:88" ht="11.25" customHeight="1">
      <c r="A215" s="3" t="str">
        <f>"1.202"</f>
        <v>1.202</v>
      </c>
      <c r="B215" s="4" t="str">
        <f>"г. Грязовец, ул. Обнорского, д.95"</f>
        <v>г. Грязовец, ул. Обнорского, д.95</v>
      </c>
      <c r="C215" s="7" t="str">
        <f>"1888"</f>
        <v>1888</v>
      </c>
      <c r="D215" s="5" t="str">
        <f>"1888"</f>
        <v>1888</v>
      </c>
      <c r="E215" s="5" t="str">
        <f>"56,00"</f>
        <v>56,00</v>
      </c>
      <c r="F215" s="5" t="str">
        <f>"2019"</f>
        <v>2019</v>
      </c>
      <c r="G215" s="5" t="str">
        <f t="shared" si="350"/>
        <v>нет</v>
      </c>
      <c r="H215" s="5" t="str">
        <f>""</f>
        <v/>
      </c>
      <c r="I215" s="5" t="str">
        <f>""</f>
        <v/>
      </c>
      <c r="J215" s="5" t="str">
        <f>""</f>
        <v/>
      </c>
      <c r="K215" s="5" t="str">
        <f t="shared" si="351"/>
        <v>нет</v>
      </c>
      <c r="L215" s="5" t="str">
        <f>""</f>
        <v/>
      </c>
      <c r="M215" s="5" t="str">
        <f>""</f>
        <v/>
      </c>
      <c r="N215" s="5" t="str">
        <f>""</f>
        <v/>
      </c>
      <c r="O215" s="8" t="str">
        <f>"1888"</f>
        <v>1888</v>
      </c>
      <c r="P215" s="5" t="str">
        <f>"57,00"</f>
        <v>57,00</v>
      </c>
      <c r="Q215" s="5" t="str">
        <f>"2019"</f>
        <v>2019</v>
      </c>
      <c r="R215" s="5" t="str">
        <f t="shared" si="366"/>
        <v>нет</v>
      </c>
      <c r="S215" s="5" t="str">
        <f t="shared" si="352"/>
        <v>х</v>
      </c>
      <c r="T215" s="5" t="str">
        <f t="shared" si="352"/>
        <v>х</v>
      </c>
      <c r="U215" s="5" t="str">
        <f t="shared" si="352"/>
        <v>х</v>
      </c>
      <c r="V215" s="5" t="str">
        <f>"нет"</f>
        <v>нет</v>
      </c>
      <c r="W215" s="5" t="str">
        <f t="shared" si="353"/>
        <v>х</v>
      </c>
      <c r="X215" s="5" t="str">
        <f t="shared" si="353"/>
        <v>х</v>
      </c>
      <c r="Y215" s="9" t="str">
        <f t="shared" si="353"/>
        <v>х</v>
      </c>
      <c r="Z215" s="5" t="str">
        <f>"1888"</f>
        <v>1888</v>
      </c>
      <c r="AA215" s="5" t="str">
        <f>"57,00"</f>
        <v>57,00</v>
      </c>
      <c r="AB215" s="5" t="str">
        <f>"2019"</f>
        <v>2019</v>
      </c>
      <c r="AC215" s="5" t="str">
        <f t="shared" si="347"/>
        <v>нет</v>
      </c>
      <c r="AD215" s="5" t="str">
        <f>""</f>
        <v/>
      </c>
      <c r="AE215" s="5" t="str">
        <f>""</f>
        <v/>
      </c>
      <c r="AF215" s="5" t="str">
        <f>""</f>
        <v/>
      </c>
      <c r="AG215" s="5" t="str">
        <f t="shared" si="348"/>
        <v>нет</v>
      </c>
      <c r="AH215" s="5" t="str">
        <f>""</f>
        <v/>
      </c>
      <c r="AI215" s="5" t="str">
        <f>""</f>
        <v/>
      </c>
      <c r="AJ215" s="5" t="str">
        <f>""</f>
        <v/>
      </c>
      <c r="AK215" s="8" t="str">
        <f>"1888"</f>
        <v>1888</v>
      </c>
      <c r="AL215" s="5" t="str">
        <f>"58,00"</f>
        <v>58,00</v>
      </c>
      <c r="AM215" s="5" t="str">
        <f>"2018"</f>
        <v>2018</v>
      </c>
      <c r="AN215" s="5" t="str">
        <f t="shared" si="354"/>
        <v>нет</v>
      </c>
      <c r="AO215" s="5" t="str">
        <f t="shared" si="355"/>
        <v>х</v>
      </c>
      <c r="AP215" s="5" t="str">
        <f t="shared" si="355"/>
        <v>х</v>
      </c>
      <c r="AQ215" s="5" t="str">
        <f t="shared" si="355"/>
        <v>х</v>
      </c>
      <c r="AR215" s="5" t="str">
        <f t="shared" si="356"/>
        <v>нет</v>
      </c>
      <c r="AS215" s="5" t="str">
        <f t="shared" si="357"/>
        <v>х</v>
      </c>
      <c r="AT215" s="5" t="str">
        <f t="shared" si="357"/>
        <v>х</v>
      </c>
      <c r="AU215" s="5" t="str">
        <f t="shared" si="357"/>
        <v>х</v>
      </c>
      <c r="AV215" s="5" t="str">
        <f>"1888"</f>
        <v>1888</v>
      </c>
      <c r="AW215" s="5" t="str">
        <f>"59,00"</f>
        <v>59,00</v>
      </c>
      <c r="AX215" s="5" t="str">
        <f>"2018"</f>
        <v>2018</v>
      </c>
      <c r="AY215" s="5" t="str">
        <f t="shared" si="358"/>
        <v>нет</v>
      </c>
      <c r="AZ215" s="5" t="str">
        <f t="shared" si="359"/>
        <v>х</v>
      </c>
      <c r="BA215" s="5" t="str">
        <f t="shared" si="359"/>
        <v>х</v>
      </c>
      <c r="BB215" s="5" t="str">
        <f t="shared" si="359"/>
        <v>х</v>
      </c>
      <c r="BC215" s="5" t="str">
        <f t="shared" si="360"/>
        <v>нет</v>
      </c>
      <c r="BD215" s="5" t="str">
        <f t="shared" si="361"/>
        <v>х</v>
      </c>
      <c r="BE215" s="5" t="str">
        <f t="shared" si="361"/>
        <v>х</v>
      </c>
      <c r="BF215" s="5" t="str">
        <f t="shared" si="361"/>
        <v>х</v>
      </c>
      <c r="BG215" s="5" t="str">
        <f>"1888"</f>
        <v>1888</v>
      </c>
      <c r="BH215" s="5" t="str">
        <f>"59,00"</f>
        <v>59,00</v>
      </c>
      <c r="BI215" s="5" t="str">
        <f>"2018"</f>
        <v>2018</v>
      </c>
      <c r="BJ215" s="5" t="str">
        <f t="shared" si="362"/>
        <v>нет</v>
      </c>
      <c r="BK215" s="5" t="str">
        <f t="shared" si="363"/>
        <v>х</v>
      </c>
      <c r="BL215" s="5" t="str">
        <f t="shared" si="363"/>
        <v>х</v>
      </c>
      <c r="BM215" s="5" t="str">
        <f t="shared" si="363"/>
        <v>х</v>
      </c>
      <c r="BN215" s="5" t="str">
        <f t="shared" si="364"/>
        <v>нет</v>
      </c>
      <c r="BO215" s="5" t="str">
        <f t="shared" si="365"/>
        <v>х</v>
      </c>
      <c r="BP215" s="5" t="str">
        <f t="shared" si="365"/>
        <v>х</v>
      </c>
      <c r="BQ215" s="5" t="str">
        <f t="shared" si="365"/>
        <v>х</v>
      </c>
      <c r="BR215" s="5" t="str">
        <f>"1888"</f>
        <v>1888</v>
      </c>
      <c r="BS215" s="5" t="str">
        <f>"60,00"</f>
        <v>60,00</v>
      </c>
      <c r="BT215" s="5" t="str">
        <f>"2018"</f>
        <v>2018</v>
      </c>
      <c r="BU215" s="5" t="str">
        <f t="shared" si="339"/>
        <v>нет</v>
      </c>
      <c r="BV215" s="5" t="str">
        <f t="shared" si="367"/>
        <v>x</v>
      </c>
      <c r="BW215" s="5" t="str">
        <f t="shared" si="367"/>
        <v>x</v>
      </c>
      <c r="BX215" s="5" t="str">
        <f t="shared" si="367"/>
        <v>x</v>
      </c>
      <c r="BY215" s="5" t="str">
        <f t="shared" si="338"/>
        <v>нет</v>
      </c>
      <c r="BZ215" s="5" t="str">
        <f>"1888"</f>
        <v>1888</v>
      </c>
      <c r="CA215" s="5" t="str">
        <f>"63,00"</f>
        <v>63,00</v>
      </c>
      <c r="CB215" s="5" t="str">
        <f>"2018"</f>
        <v>2018</v>
      </c>
      <c r="CC215" s="5" t="str">
        <f>"1888"</f>
        <v>1888</v>
      </c>
      <c r="CD215" s="5" t="str">
        <f>"63,00"</f>
        <v>63,00</v>
      </c>
      <c r="CE215" s="5" t="str">
        <f>"2018"</f>
        <v>2018</v>
      </c>
      <c r="CF215" s="5" t="str">
        <f>"1888"</f>
        <v>1888</v>
      </c>
      <c r="CG215" s="5" t="str">
        <f>"65,00"</f>
        <v>65,00</v>
      </c>
      <c r="CH215" s="5" t="str">
        <f>"2018"</f>
        <v>2018</v>
      </c>
      <c r="CI215" s="5" t="str">
        <f>"65,00"</f>
        <v>65,00</v>
      </c>
      <c r="CJ215" s="5" t="str">
        <f>"2020"</f>
        <v>2020</v>
      </c>
    </row>
    <row r="216" spans="1:88" ht="11.25" customHeight="1">
      <c r="A216" s="3" t="str">
        <f>"1.203"</f>
        <v>1.203</v>
      </c>
      <c r="B216" s="4" t="str">
        <f>"г. Грязовец, ул. Октябрьская, д.10"</f>
        <v>г. Грязовец, ул. Октябрьская, д.10</v>
      </c>
      <c r="C216" s="7" t="str">
        <f>"1992"</f>
        <v>1992</v>
      </c>
      <c r="D216" s="5" t="str">
        <f>"1992"</f>
        <v>1992</v>
      </c>
      <c r="E216" s="5" t="str">
        <f>"6,00"</f>
        <v>6,00</v>
      </c>
      <c r="F216" s="5" t="str">
        <f>"2040"</f>
        <v>2040</v>
      </c>
      <c r="G216" s="5" t="str">
        <f>"да"</f>
        <v>да</v>
      </c>
      <c r="H216" s="5" t="str">
        <f>""</f>
        <v/>
      </c>
      <c r="I216" s="5" t="str">
        <f>"6,00"</f>
        <v>6,00</v>
      </c>
      <c r="J216" s="5" t="str">
        <f>"2040"</f>
        <v>2040</v>
      </c>
      <c r="K216" s="5" t="str">
        <f>"да"</f>
        <v>да</v>
      </c>
      <c r="L216" s="5" t="str">
        <f>""</f>
        <v/>
      </c>
      <c r="M216" s="5" t="str">
        <f>"6,00"</f>
        <v>6,00</v>
      </c>
      <c r="N216" s="5" t="str">
        <f>"2040"</f>
        <v>2040</v>
      </c>
      <c r="O216" s="8" t="str">
        <f>"1992"</f>
        <v>1992</v>
      </c>
      <c r="P216" s="5" t="str">
        <f>"12,00"</f>
        <v>12,00</v>
      </c>
      <c r="Q216" s="5" t="str">
        <f>"2038"</f>
        <v>2038</v>
      </c>
      <c r="R216" s="5" t="str">
        <f t="shared" si="366"/>
        <v>нет</v>
      </c>
      <c r="S216" s="5" t="str">
        <f t="shared" si="352"/>
        <v>х</v>
      </c>
      <c r="T216" s="5" t="str">
        <f t="shared" si="352"/>
        <v>х</v>
      </c>
      <c r="U216" s="5" t="str">
        <f t="shared" si="352"/>
        <v>х</v>
      </c>
      <c r="V216" s="5" t="str">
        <f>"да"</f>
        <v>да</v>
      </c>
      <c r="W216" s="5" t="str">
        <f t="shared" si="353"/>
        <v>х</v>
      </c>
      <c r="X216" s="5" t="str">
        <f t="shared" si="353"/>
        <v>х</v>
      </c>
      <c r="Y216" s="9" t="str">
        <f t="shared" si="353"/>
        <v>х</v>
      </c>
      <c r="Z216" s="5" t="str">
        <f>"1992"</f>
        <v>1992</v>
      </c>
      <c r="AA216" s="5" t="str">
        <f>"6,00"</f>
        <v>6,00</v>
      </c>
      <c r="AB216" s="5" t="str">
        <f>"2040"</f>
        <v>2040</v>
      </c>
      <c r="AC216" s="5" t="str">
        <f>"да"</f>
        <v>да</v>
      </c>
      <c r="AD216" s="5" t="str">
        <f>""</f>
        <v/>
      </c>
      <c r="AE216" s="5" t="str">
        <f>"5,00"</f>
        <v>5,00</v>
      </c>
      <c r="AF216" s="5" t="str">
        <f>"2040"</f>
        <v>2040</v>
      </c>
      <c r="AG216" s="5" t="str">
        <f>"да"</f>
        <v>да</v>
      </c>
      <c r="AH216" s="5" t="str">
        <f>""</f>
        <v/>
      </c>
      <c r="AI216" s="5" t="str">
        <f>"5,00"</f>
        <v>5,00</v>
      </c>
      <c r="AJ216" s="5" t="str">
        <f>"2040"</f>
        <v>2040</v>
      </c>
      <c r="AK216" s="8" t="str">
        <f>"1992"</f>
        <v>1992</v>
      </c>
      <c r="AL216" s="5" t="str">
        <f>"22,00"</f>
        <v>22,00</v>
      </c>
      <c r="AM216" s="5" t="str">
        <f>"2038"</f>
        <v>2038</v>
      </c>
      <c r="AN216" s="5" t="str">
        <f>"да"</f>
        <v>да</v>
      </c>
      <c r="AO216" s="5" t="str">
        <f t="shared" si="355"/>
        <v>х</v>
      </c>
      <c r="AP216" s="5" t="str">
        <f t="shared" si="355"/>
        <v>х</v>
      </c>
      <c r="AQ216" s="5" t="str">
        <f t="shared" si="355"/>
        <v>х</v>
      </c>
      <c r="AR216" s="5" t="str">
        <f>"да"</f>
        <v>да</v>
      </c>
      <c r="AS216" s="5" t="str">
        <f t="shared" si="357"/>
        <v>х</v>
      </c>
      <c r="AT216" s="5" t="str">
        <f t="shared" si="357"/>
        <v>х</v>
      </c>
      <c r="AU216" s="5" t="str">
        <f t="shared" si="357"/>
        <v>х</v>
      </c>
      <c r="AV216" s="5" t="str">
        <f>"1992"</f>
        <v>1992</v>
      </c>
      <c r="AW216" s="5" t="str">
        <f>"14,00"</f>
        <v>14,00</v>
      </c>
      <c r="AX216" s="5" t="str">
        <f>"2038"</f>
        <v>2038</v>
      </c>
      <c r="AY216" s="5" t="str">
        <f>"да"</f>
        <v>да</v>
      </c>
      <c r="AZ216" s="5" t="str">
        <f t="shared" si="359"/>
        <v>х</v>
      </c>
      <c r="BA216" s="5" t="str">
        <f t="shared" si="359"/>
        <v>х</v>
      </c>
      <c r="BB216" s="5" t="str">
        <f t="shared" si="359"/>
        <v>х</v>
      </c>
      <c r="BC216" s="5" t="str">
        <f>"да"</f>
        <v>да</v>
      </c>
      <c r="BD216" s="5" t="str">
        <f t="shared" si="361"/>
        <v>х</v>
      </c>
      <c r="BE216" s="5" t="str">
        <f t="shared" si="361"/>
        <v>х</v>
      </c>
      <c r="BF216" s="5" t="str">
        <f t="shared" si="361"/>
        <v>х</v>
      </c>
      <c r="BG216" s="5" t="str">
        <f>"1992"</f>
        <v>1992</v>
      </c>
      <c r="BH216" s="5" t="str">
        <f>"18,00"</f>
        <v>18,00</v>
      </c>
      <c r="BI216" s="5" t="str">
        <f>"2038"</f>
        <v>2038</v>
      </c>
      <c r="BJ216" s="5" t="str">
        <f t="shared" si="362"/>
        <v>нет</v>
      </c>
      <c r="BK216" s="5" t="str">
        <f t="shared" si="363"/>
        <v>х</v>
      </c>
      <c r="BL216" s="5" t="str">
        <f t="shared" si="363"/>
        <v>х</v>
      </c>
      <c r="BM216" s="5" t="str">
        <f t="shared" si="363"/>
        <v>х</v>
      </c>
      <c r="BN216" s="5" t="str">
        <f>"х"</f>
        <v>х</v>
      </c>
      <c r="BO216" s="5" t="str">
        <f t="shared" si="365"/>
        <v>х</v>
      </c>
      <c r="BP216" s="5" t="str">
        <f t="shared" si="365"/>
        <v>х</v>
      </c>
      <c r="BQ216" s="5" t="str">
        <f t="shared" si="365"/>
        <v>х</v>
      </c>
      <c r="BR216" s="5" t="str">
        <f>"1992"</f>
        <v>1992</v>
      </c>
      <c r="BS216" s="5" t="str">
        <f>"24,00"</f>
        <v>24,00</v>
      </c>
      <c r="BT216" s="5" t="str">
        <f>"2035"</f>
        <v>2035</v>
      </c>
      <c r="BU216" s="5" t="str">
        <f t="shared" si="339"/>
        <v>нет</v>
      </c>
      <c r="BV216" s="5" t="str">
        <f t="shared" si="367"/>
        <v>x</v>
      </c>
      <c r="BW216" s="5" t="str">
        <f t="shared" si="367"/>
        <v>x</v>
      </c>
      <c r="BX216" s="5" t="str">
        <f t="shared" si="367"/>
        <v>x</v>
      </c>
      <c r="BY216" s="5" t="str">
        <f t="shared" si="338"/>
        <v>нет</v>
      </c>
      <c r="BZ216" s="5" t="str">
        <f>"x"</f>
        <v>x</v>
      </c>
      <c r="CA216" s="5" t="str">
        <f>"x"</f>
        <v>x</v>
      </c>
      <c r="CB216" s="5" t="str">
        <f>"x"</f>
        <v>x</v>
      </c>
      <c r="CC216" s="5" t="str">
        <f>"1992"</f>
        <v>1992</v>
      </c>
      <c r="CD216" s="5" t="str">
        <f>"12,00"</f>
        <v>12,00</v>
      </c>
      <c r="CE216" s="5" t="str">
        <f>"2035"</f>
        <v>2035</v>
      </c>
      <c r="CF216" s="5" t="str">
        <f>"1992"</f>
        <v>1992</v>
      </c>
      <c r="CG216" s="5" t="str">
        <f>"11,00"</f>
        <v>11,00</v>
      </c>
      <c r="CH216" s="5" t="str">
        <f>"2035"</f>
        <v>2035</v>
      </c>
      <c r="CI216" s="5" t="str">
        <f>"16,00"</f>
        <v>16,00</v>
      </c>
      <c r="CJ216" s="5" t="str">
        <f>"2040"</f>
        <v>2040</v>
      </c>
    </row>
    <row r="217" spans="1:88" ht="11.25" customHeight="1">
      <c r="A217" s="3" t="str">
        <f>"1.204"</f>
        <v>1.204</v>
      </c>
      <c r="B217" s="4" t="str">
        <f>"г. Грязовец, ул. Октябрьская, д.11"</f>
        <v>г. Грязовец, ул. Октябрьская, д.11</v>
      </c>
      <c r="C217" s="7" t="str">
        <f>"1991"</f>
        <v>1991</v>
      </c>
      <c r="D217" s="5" t="str">
        <f>"1991"</f>
        <v>1991</v>
      </c>
      <c r="E217" s="5" t="str">
        <f>"8,00"</f>
        <v>8,00</v>
      </c>
      <c r="F217" s="5" t="str">
        <f>"2038"</f>
        <v>2038</v>
      </c>
      <c r="G217" s="5" t="str">
        <f>"да"</f>
        <v>да</v>
      </c>
      <c r="H217" s="5" t="str">
        <f>""</f>
        <v/>
      </c>
      <c r="I217" s="5" t="str">
        <f>"5,00"</f>
        <v>5,00</v>
      </c>
      <c r="J217" s="5" t="str">
        <f>"2038"</f>
        <v>2038</v>
      </c>
      <c r="K217" s="5" t="str">
        <f>"да"</f>
        <v>да</v>
      </c>
      <c r="L217" s="5" t="str">
        <f>""</f>
        <v/>
      </c>
      <c r="M217" s="5" t="str">
        <f>"5,00"</f>
        <v>5,00</v>
      </c>
      <c r="N217" s="5" t="str">
        <f>"2038"</f>
        <v>2038</v>
      </c>
      <c r="O217" s="8" t="str">
        <f>"1991"</f>
        <v>1991</v>
      </c>
      <c r="P217" s="5" t="str">
        <f>"18,00"</f>
        <v>18,00</v>
      </c>
      <c r="Q217" s="5" t="str">
        <f>"2035"</f>
        <v>2035</v>
      </c>
      <c r="R217" s="5" t="str">
        <f t="shared" si="366"/>
        <v>нет</v>
      </c>
      <c r="S217" s="5" t="str">
        <f t="shared" si="352"/>
        <v>х</v>
      </c>
      <c r="T217" s="5" t="str">
        <f t="shared" si="352"/>
        <v>х</v>
      </c>
      <c r="U217" s="5" t="str">
        <f t="shared" si="352"/>
        <v>х</v>
      </c>
      <c r="V217" s="5" t="str">
        <f>"да"</f>
        <v>да</v>
      </c>
      <c r="W217" s="5" t="str">
        <f t="shared" si="353"/>
        <v>х</v>
      </c>
      <c r="X217" s="5" t="str">
        <f t="shared" si="353"/>
        <v>х</v>
      </c>
      <c r="Y217" s="9" t="str">
        <f t="shared" si="353"/>
        <v>х</v>
      </c>
      <c r="Z217" s="5" t="str">
        <f>"1991"</f>
        <v>1991</v>
      </c>
      <c r="AA217" s="5" t="str">
        <f>"12,00"</f>
        <v>12,00</v>
      </c>
      <c r="AB217" s="5" t="str">
        <f>"2035"</f>
        <v>2035</v>
      </c>
      <c r="AC217" s="5" t="str">
        <f>"да"</f>
        <v>да</v>
      </c>
      <c r="AD217" s="5" t="str">
        <f>""</f>
        <v/>
      </c>
      <c r="AE217" s="5" t="str">
        <f>"10,00"</f>
        <v>10,00</v>
      </c>
      <c r="AF217" s="5" t="str">
        <f>"2036"</f>
        <v>2036</v>
      </c>
      <c r="AG217" s="5" t="str">
        <f>"да"</f>
        <v>да</v>
      </c>
      <c r="AH217" s="5" t="str">
        <f>""</f>
        <v/>
      </c>
      <c r="AI217" s="5" t="str">
        <f>"10,00"</f>
        <v>10,00</v>
      </c>
      <c r="AJ217" s="5" t="str">
        <f>"2036"</f>
        <v>2036</v>
      </c>
      <c r="AK217" s="8" t="str">
        <f>"1991"</f>
        <v>1991</v>
      </c>
      <c r="AL217" s="5" t="str">
        <f>"22,00"</f>
        <v>22,00</v>
      </c>
      <c r="AM217" s="5" t="str">
        <f>"2030"</f>
        <v>2030</v>
      </c>
      <c r="AN217" s="5" t="str">
        <f>"да"</f>
        <v>да</v>
      </c>
      <c r="AO217" s="5" t="str">
        <f t="shared" si="355"/>
        <v>х</v>
      </c>
      <c r="AP217" s="5" t="str">
        <f t="shared" si="355"/>
        <v>х</v>
      </c>
      <c r="AQ217" s="5" t="str">
        <f t="shared" si="355"/>
        <v>х</v>
      </c>
      <c r="AR217" s="5" t="str">
        <f>"да"</f>
        <v>да</v>
      </c>
      <c r="AS217" s="5" t="str">
        <f t="shared" si="357"/>
        <v>х</v>
      </c>
      <c r="AT217" s="5" t="str">
        <f t="shared" si="357"/>
        <v>х</v>
      </c>
      <c r="AU217" s="5" t="str">
        <f t="shared" si="357"/>
        <v>х</v>
      </c>
      <c r="AV217" s="5" t="str">
        <f>"1991"</f>
        <v>1991</v>
      </c>
      <c r="AW217" s="5" t="str">
        <f>"18,00"</f>
        <v>18,00</v>
      </c>
      <c r="AX217" s="5" t="str">
        <f>"2030"</f>
        <v>2030</v>
      </c>
      <c r="AY217" s="5" t="str">
        <f>"да"</f>
        <v>да</v>
      </c>
      <c r="AZ217" s="5" t="str">
        <f t="shared" si="359"/>
        <v>х</v>
      </c>
      <c r="BA217" s="5" t="str">
        <f t="shared" si="359"/>
        <v>х</v>
      </c>
      <c r="BB217" s="5" t="str">
        <f t="shared" si="359"/>
        <v>х</v>
      </c>
      <c r="BC217" s="5" t="str">
        <f>"да"</f>
        <v>да</v>
      </c>
      <c r="BD217" s="5" t="str">
        <f t="shared" si="361"/>
        <v>х</v>
      </c>
      <c r="BE217" s="5" t="str">
        <f t="shared" si="361"/>
        <v>х</v>
      </c>
      <c r="BF217" s="5" t="str">
        <f t="shared" si="361"/>
        <v>х</v>
      </c>
      <c r="BG217" s="5" t="str">
        <f>"1991"</f>
        <v>1991</v>
      </c>
      <c r="BH217" s="5" t="str">
        <f>"24,00"</f>
        <v>24,00</v>
      </c>
      <c r="BI217" s="5" t="str">
        <f>"2030"</f>
        <v>2030</v>
      </c>
      <c r="BJ217" s="5" t="str">
        <f t="shared" si="362"/>
        <v>нет</v>
      </c>
      <c r="BK217" s="5" t="str">
        <f t="shared" si="363"/>
        <v>х</v>
      </c>
      <c r="BL217" s="5" t="str">
        <f t="shared" si="363"/>
        <v>х</v>
      </c>
      <c r="BM217" s="5" t="str">
        <f t="shared" si="363"/>
        <v>х</v>
      </c>
      <c r="BN217" s="5" t="str">
        <f t="shared" ref="BN217:BN226" si="368">"нет"</f>
        <v>нет</v>
      </c>
      <c r="BO217" s="5" t="str">
        <f t="shared" si="365"/>
        <v>х</v>
      </c>
      <c r="BP217" s="5" t="str">
        <f t="shared" si="365"/>
        <v>х</v>
      </c>
      <c r="BQ217" s="5" t="str">
        <f t="shared" si="365"/>
        <v>х</v>
      </c>
      <c r="BR217" s="5" t="str">
        <f>"1991"</f>
        <v>1991</v>
      </c>
      <c r="BS217" s="5" t="str">
        <f>"25,00"</f>
        <v>25,00</v>
      </c>
      <c r="BT217" s="5" t="str">
        <f>"2026"</f>
        <v>2026</v>
      </c>
      <c r="BU217" s="5" t="str">
        <f t="shared" si="339"/>
        <v>нет</v>
      </c>
      <c r="BV217" s="5" t="str">
        <f t="shared" si="367"/>
        <v>x</v>
      </c>
      <c r="BW217" s="5" t="str">
        <f t="shared" si="367"/>
        <v>x</v>
      </c>
      <c r="BX217" s="5" t="str">
        <f t="shared" si="367"/>
        <v>x</v>
      </c>
      <c r="BY217" s="5" t="str">
        <f t="shared" si="338"/>
        <v>нет</v>
      </c>
      <c r="BZ217" s="5" t="str">
        <f>"1991"</f>
        <v>1991</v>
      </c>
      <c r="CA217" s="5" t="str">
        <f>"14,00"</f>
        <v>14,00</v>
      </c>
      <c r="CB217" s="5" t="str">
        <f>"2030"</f>
        <v>2030</v>
      </c>
      <c r="CC217" s="5" t="str">
        <f>"1991"</f>
        <v>1991</v>
      </c>
      <c r="CD217" s="5" t="str">
        <f>"19,00"</f>
        <v>19,00</v>
      </c>
      <c r="CE217" s="5" t="str">
        <f>"2026"</f>
        <v>2026</v>
      </c>
      <c r="CF217" s="5" t="str">
        <f>"1991"</f>
        <v>1991</v>
      </c>
      <c r="CG217" s="5" t="str">
        <f>"12,00"</f>
        <v>12,00</v>
      </c>
      <c r="CH217" s="5" t="str">
        <f>"2027"</f>
        <v>2027</v>
      </c>
      <c r="CI217" s="5" t="str">
        <f>"19,00"</f>
        <v>19,00</v>
      </c>
      <c r="CJ217" s="5" t="str">
        <f>"2038"</f>
        <v>2038</v>
      </c>
    </row>
    <row r="218" spans="1:88" ht="11.25" customHeight="1">
      <c r="A218" s="3" t="str">
        <f>"1.205"</f>
        <v>1.205</v>
      </c>
      <c r="B218" s="4" t="str">
        <f>"г. Грязовец, ул. Октябрьская, д.12"</f>
        <v>г. Грязовец, ул. Октябрьская, д.12</v>
      </c>
      <c r="C218" s="7" t="str">
        <f>"1990"</f>
        <v>1990</v>
      </c>
      <c r="D218" s="5" t="str">
        <f>"1990"</f>
        <v>1990</v>
      </c>
      <c r="E218" s="5" t="str">
        <f>"16,00"</f>
        <v>16,00</v>
      </c>
      <c r="F218" s="5" t="str">
        <f>"2040"</f>
        <v>2040</v>
      </c>
      <c r="G218" s="5" t="str">
        <f>"да"</f>
        <v>да</v>
      </c>
      <c r="H218" s="5" t="str">
        <f>""</f>
        <v/>
      </c>
      <c r="I218" s="5" t="str">
        <f>"15,00"</f>
        <v>15,00</v>
      </c>
      <c r="J218" s="5" t="str">
        <f>"2040"</f>
        <v>2040</v>
      </c>
      <c r="K218" s="5" t="str">
        <f>"да"</f>
        <v>да</v>
      </c>
      <c r="L218" s="5" t="str">
        <f>""</f>
        <v/>
      </c>
      <c r="M218" s="5" t="str">
        <f>"15,00"</f>
        <v>15,00</v>
      </c>
      <c r="N218" s="5" t="str">
        <f>"2040"</f>
        <v>2040</v>
      </c>
      <c r="O218" s="8" t="str">
        <f>"1990"</f>
        <v>1990</v>
      </c>
      <c r="P218" s="5" t="str">
        <f>"19,00"</f>
        <v>19,00</v>
      </c>
      <c r="Q218" s="5" t="str">
        <f>"2035"</f>
        <v>2035</v>
      </c>
      <c r="R218" s="5" t="str">
        <f t="shared" si="366"/>
        <v>нет</v>
      </c>
      <c r="S218" s="5" t="str">
        <f t="shared" si="352"/>
        <v>х</v>
      </c>
      <c r="T218" s="5" t="str">
        <f t="shared" si="352"/>
        <v>х</v>
      </c>
      <c r="U218" s="5" t="str">
        <f t="shared" si="352"/>
        <v>х</v>
      </c>
      <c r="V218" s="5" t="str">
        <f>"да"</f>
        <v>да</v>
      </c>
      <c r="W218" s="5" t="str">
        <f t="shared" si="353"/>
        <v>х</v>
      </c>
      <c r="X218" s="5" t="str">
        <f t="shared" si="353"/>
        <v>х</v>
      </c>
      <c r="Y218" s="9" t="str">
        <f t="shared" si="353"/>
        <v>х</v>
      </c>
      <c r="Z218" s="5" t="str">
        <f>"1990"</f>
        <v>1990</v>
      </c>
      <c r="AA218" s="5" t="str">
        <f>"15,00"</f>
        <v>15,00</v>
      </c>
      <c r="AB218" s="5" t="str">
        <f>"2040"</f>
        <v>2040</v>
      </c>
      <c r="AC218" s="5" t="str">
        <f>"да"</f>
        <v>да</v>
      </c>
      <c r="AD218" s="5" t="str">
        <f>""</f>
        <v/>
      </c>
      <c r="AE218" s="5" t="str">
        <f>"10,00"</f>
        <v>10,00</v>
      </c>
      <c r="AF218" s="5" t="str">
        <f>"2040"</f>
        <v>2040</v>
      </c>
      <c r="AG218" s="5" t="str">
        <f>"да"</f>
        <v>да</v>
      </c>
      <c r="AH218" s="5" t="str">
        <f>""</f>
        <v/>
      </c>
      <c r="AI218" s="5" t="str">
        <f>"10,00"</f>
        <v>10,00</v>
      </c>
      <c r="AJ218" s="5" t="str">
        <f>"2040"</f>
        <v>2040</v>
      </c>
      <c r="AK218" s="8" t="str">
        <f>"1990"</f>
        <v>1990</v>
      </c>
      <c r="AL218" s="5" t="str">
        <f>"25,00"</f>
        <v>25,00</v>
      </c>
      <c r="AM218" s="5" t="str">
        <f>"2035"</f>
        <v>2035</v>
      </c>
      <c r="AN218" s="5" t="str">
        <f>"да"</f>
        <v>да</v>
      </c>
      <c r="AO218" s="5" t="str">
        <f t="shared" si="355"/>
        <v>х</v>
      </c>
      <c r="AP218" s="5" t="str">
        <f t="shared" si="355"/>
        <v>х</v>
      </c>
      <c r="AQ218" s="5" t="str">
        <f t="shared" si="355"/>
        <v>х</v>
      </c>
      <c r="AR218" s="5" t="str">
        <f>"да"</f>
        <v>да</v>
      </c>
      <c r="AS218" s="5" t="str">
        <f t="shared" si="357"/>
        <v>х</v>
      </c>
      <c r="AT218" s="5" t="str">
        <f t="shared" si="357"/>
        <v>х</v>
      </c>
      <c r="AU218" s="5" t="str">
        <f t="shared" si="357"/>
        <v>х</v>
      </c>
      <c r="AV218" s="5" t="str">
        <f>"1990"</f>
        <v>1990</v>
      </c>
      <c r="AW218" s="5" t="str">
        <f>"18,00"</f>
        <v>18,00</v>
      </c>
      <c r="AX218" s="5" t="str">
        <f>"2035"</f>
        <v>2035</v>
      </c>
      <c r="AY218" s="5" t="str">
        <f>"да"</f>
        <v>да</v>
      </c>
      <c r="AZ218" s="5" t="str">
        <f t="shared" si="359"/>
        <v>х</v>
      </c>
      <c r="BA218" s="5" t="str">
        <f t="shared" si="359"/>
        <v>х</v>
      </c>
      <c r="BB218" s="5" t="str">
        <f t="shared" si="359"/>
        <v>х</v>
      </c>
      <c r="BC218" s="5" t="str">
        <f>"да"</f>
        <v>да</v>
      </c>
      <c r="BD218" s="5" t="str">
        <f t="shared" si="361"/>
        <v>х</v>
      </c>
      <c r="BE218" s="5" t="str">
        <f t="shared" si="361"/>
        <v>х</v>
      </c>
      <c r="BF218" s="5" t="str">
        <f t="shared" si="361"/>
        <v>х</v>
      </c>
      <c r="BG218" s="5" t="str">
        <f>"1990"</f>
        <v>1990</v>
      </c>
      <c r="BH218" s="5" t="str">
        <f>"25,00"</f>
        <v>25,00</v>
      </c>
      <c r="BI218" s="5" t="str">
        <f>"2035"</f>
        <v>2035</v>
      </c>
      <c r="BJ218" s="5" t="str">
        <f t="shared" si="362"/>
        <v>нет</v>
      </c>
      <c r="BK218" s="5" t="str">
        <f t="shared" si="363"/>
        <v>х</v>
      </c>
      <c r="BL218" s="5" t="str">
        <f t="shared" si="363"/>
        <v>х</v>
      </c>
      <c r="BM218" s="5" t="str">
        <f t="shared" si="363"/>
        <v>х</v>
      </c>
      <c r="BN218" s="5" t="str">
        <f t="shared" si="368"/>
        <v>нет</v>
      </c>
      <c r="BO218" s="5" t="str">
        <f t="shared" si="365"/>
        <v>х</v>
      </c>
      <c r="BP218" s="5" t="str">
        <f t="shared" si="365"/>
        <v>х</v>
      </c>
      <c r="BQ218" s="5" t="str">
        <f t="shared" si="365"/>
        <v>х</v>
      </c>
      <c r="BR218" s="5" t="str">
        <f>"1990"</f>
        <v>1990</v>
      </c>
      <c r="BS218" s="5" t="str">
        <f>"36,00"</f>
        <v>36,00</v>
      </c>
      <c r="BT218" s="5" t="str">
        <f>"2033"</f>
        <v>2033</v>
      </c>
      <c r="BU218" s="5" t="str">
        <f t="shared" si="339"/>
        <v>нет</v>
      </c>
      <c r="BV218" s="5" t="str">
        <f t="shared" si="367"/>
        <v>x</v>
      </c>
      <c r="BW218" s="5" t="str">
        <f t="shared" si="367"/>
        <v>x</v>
      </c>
      <c r="BX218" s="5" t="str">
        <f t="shared" si="367"/>
        <v>x</v>
      </c>
      <c r="BY218" s="5" t="str">
        <f t="shared" si="338"/>
        <v>нет</v>
      </c>
      <c r="BZ218" s="5" t="str">
        <f>"1990"</f>
        <v>1990</v>
      </c>
      <c r="CA218" s="5" t="str">
        <f>"18,00"</f>
        <v>18,00</v>
      </c>
      <c r="CB218" s="5" t="str">
        <f>"2035"</f>
        <v>2035</v>
      </c>
      <c r="CC218" s="5" t="str">
        <f>"1990"</f>
        <v>1990</v>
      </c>
      <c r="CD218" s="5" t="str">
        <f>"12,00"</f>
        <v>12,00</v>
      </c>
      <c r="CE218" s="5" t="str">
        <f>"2036"</f>
        <v>2036</v>
      </c>
      <c r="CF218" s="5" t="str">
        <f>""</f>
        <v/>
      </c>
      <c r="CG218" s="5" t="str">
        <f>"18,00"</f>
        <v>18,00</v>
      </c>
      <c r="CH218" s="5" t="str">
        <f>"2036"</f>
        <v>2036</v>
      </c>
      <c r="CI218" s="5" t="str">
        <f>"15,00"</f>
        <v>15,00</v>
      </c>
      <c r="CJ218" s="5" t="str">
        <f>"2044"</f>
        <v>2044</v>
      </c>
    </row>
    <row r="219" spans="1:88" ht="11.25" customHeight="1">
      <c r="A219" s="3" t="str">
        <f>"1.206"</f>
        <v>1.206</v>
      </c>
      <c r="B219" s="4" t="str">
        <f>"г. Грязовец, ул. Октябрьская, д.14"</f>
        <v>г. Грязовец, ул. Октябрьская, д.14</v>
      </c>
      <c r="C219" s="7" t="str">
        <f>"1989"</f>
        <v>1989</v>
      </c>
      <c r="D219" s="5" t="str">
        <f>"1989"</f>
        <v>1989</v>
      </c>
      <c r="E219" s="5" t="str">
        <f>"14,00"</f>
        <v>14,00</v>
      </c>
      <c r="F219" s="5" t="str">
        <f>"2023"</f>
        <v>2023</v>
      </c>
      <c r="G219" s="5" t="str">
        <f>"нет"</f>
        <v>нет</v>
      </c>
      <c r="H219" s="5" t="str">
        <f>""</f>
        <v/>
      </c>
      <c r="I219" s="5" t="str">
        <f>""</f>
        <v/>
      </c>
      <c r="J219" s="5" t="str">
        <f>""</f>
        <v/>
      </c>
      <c r="K219" s="5" t="str">
        <f>"нет"</f>
        <v>нет</v>
      </c>
      <c r="L219" s="5" t="str">
        <f>""</f>
        <v/>
      </c>
      <c r="M219" s="5" t="str">
        <f>""</f>
        <v/>
      </c>
      <c r="N219" s="5" t="str">
        <f>""</f>
        <v/>
      </c>
      <c r="O219" s="8" t="str">
        <f>"1989"</f>
        <v>1989</v>
      </c>
      <c r="P219" s="5" t="str">
        <f>"18,00"</f>
        <v>18,00</v>
      </c>
      <c r="Q219" s="5" t="str">
        <f>"2024"</f>
        <v>2024</v>
      </c>
      <c r="R219" s="5" t="str">
        <f t="shared" si="366"/>
        <v>нет</v>
      </c>
      <c r="S219" s="5" t="str">
        <f t="shared" si="352"/>
        <v>х</v>
      </c>
      <c r="T219" s="5" t="str">
        <f t="shared" si="352"/>
        <v>х</v>
      </c>
      <c r="U219" s="5" t="str">
        <f t="shared" si="352"/>
        <v>х</v>
      </c>
      <c r="V219" s="5" t="str">
        <f>"нет"</f>
        <v>нет</v>
      </c>
      <c r="W219" s="5" t="str">
        <f t="shared" si="353"/>
        <v>х</v>
      </c>
      <c r="X219" s="5" t="str">
        <f t="shared" si="353"/>
        <v>х</v>
      </c>
      <c r="Y219" s="9" t="str">
        <f t="shared" si="353"/>
        <v>х</v>
      </c>
      <c r="Z219" s="5" t="str">
        <f>"1989"</f>
        <v>1989</v>
      </c>
      <c r="AA219" s="5" t="str">
        <f>"18,50"</f>
        <v>18,50</v>
      </c>
      <c r="AB219" s="5" t="str">
        <f>"2025"</f>
        <v>2025</v>
      </c>
      <c r="AC219" s="5" t="str">
        <f>"нет"</f>
        <v>нет</v>
      </c>
      <c r="AD219" s="5" t="str">
        <f>""</f>
        <v/>
      </c>
      <c r="AE219" s="5" t="str">
        <f>""</f>
        <v/>
      </c>
      <c r="AF219" s="5" t="str">
        <f>""</f>
        <v/>
      </c>
      <c r="AG219" s="5" t="str">
        <f>"нет"</f>
        <v>нет</v>
      </c>
      <c r="AH219" s="5" t="str">
        <f>""</f>
        <v/>
      </c>
      <c r="AI219" s="5" t="str">
        <f>""</f>
        <v/>
      </c>
      <c r="AJ219" s="5" t="str">
        <f>""</f>
        <v/>
      </c>
      <c r="AK219" s="8" t="str">
        <f>"1989"</f>
        <v>1989</v>
      </c>
      <c r="AL219" s="5" t="str">
        <f>"22,00"</f>
        <v>22,00</v>
      </c>
      <c r="AM219" s="5" t="str">
        <f>"2024"</f>
        <v>2024</v>
      </c>
      <c r="AN219" s="5" t="str">
        <f>"нет"</f>
        <v>нет</v>
      </c>
      <c r="AO219" s="5" t="str">
        <f t="shared" si="355"/>
        <v>х</v>
      </c>
      <c r="AP219" s="5" t="str">
        <f t="shared" si="355"/>
        <v>х</v>
      </c>
      <c r="AQ219" s="5" t="str">
        <f t="shared" si="355"/>
        <v>х</v>
      </c>
      <c r="AR219" s="5" t="str">
        <f>"нет"</f>
        <v>нет</v>
      </c>
      <c r="AS219" s="5" t="str">
        <f t="shared" si="357"/>
        <v>х</v>
      </c>
      <c r="AT219" s="5" t="str">
        <f t="shared" si="357"/>
        <v>х</v>
      </c>
      <c r="AU219" s="5" t="str">
        <f t="shared" si="357"/>
        <v>х</v>
      </c>
      <c r="AV219" s="5" t="str">
        <f>"1989"</f>
        <v>1989</v>
      </c>
      <c r="AW219" s="5" t="str">
        <f>"23,00"</f>
        <v>23,00</v>
      </c>
      <c r="AX219" s="5" t="str">
        <f>"2025"</f>
        <v>2025</v>
      </c>
      <c r="AY219" s="5" t="str">
        <f>"нет"</f>
        <v>нет</v>
      </c>
      <c r="AZ219" s="5" t="str">
        <f t="shared" si="359"/>
        <v>х</v>
      </c>
      <c r="BA219" s="5" t="str">
        <f t="shared" si="359"/>
        <v>х</v>
      </c>
      <c r="BB219" s="5" t="str">
        <f t="shared" si="359"/>
        <v>х</v>
      </c>
      <c r="BC219" s="5" t="str">
        <f>"нет"</f>
        <v>нет</v>
      </c>
      <c r="BD219" s="5" t="str">
        <f t="shared" si="361"/>
        <v>х</v>
      </c>
      <c r="BE219" s="5" t="str">
        <f t="shared" si="361"/>
        <v>х</v>
      </c>
      <c r="BF219" s="5" t="str">
        <f t="shared" si="361"/>
        <v>х</v>
      </c>
      <c r="BG219" s="5" t="str">
        <f>"1989"</f>
        <v>1989</v>
      </c>
      <c r="BH219" s="5" t="str">
        <f>"24,00"</f>
        <v>24,00</v>
      </c>
      <c r="BI219" s="5" t="str">
        <f>"2023"</f>
        <v>2023</v>
      </c>
      <c r="BJ219" s="5" t="str">
        <f t="shared" si="362"/>
        <v>нет</v>
      </c>
      <c r="BK219" s="5" t="str">
        <f t="shared" si="363"/>
        <v>х</v>
      </c>
      <c r="BL219" s="5" t="str">
        <f t="shared" si="363"/>
        <v>х</v>
      </c>
      <c r="BM219" s="5" t="str">
        <f t="shared" si="363"/>
        <v>х</v>
      </c>
      <c r="BN219" s="5" t="str">
        <f t="shared" si="368"/>
        <v>нет</v>
      </c>
      <c r="BO219" s="5" t="str">
        <f t="shared" si="365"/>
        <v>х</v>
      </c>
      <c r="BP219" s="5" t="str">
        <f t="shared" si="365"/>
        <v>х</v>
      </c>
      <c r="BQ219" s="5" t="str">
        <f t="shared" si="365"/>
        <v>х</v>
      </c>
      <c r="BR219" s="5" t="str">
        <f>"1989"</f>
        <v>1989</v>
      </c>
      <c r="BS219" s="5" t="str">
        <f>"26,00"</f>
        <v>26,00</v>
      </c>
      <c r="BT219" s="5" t="str">
        <f>"2024"</f>
        <v>2024</v>
      </c>
      <c r="BU219" s="5" t="str">
        <f t="shared" si="339"/>
        <v>нет</v>
      </c>
      <c r="BV219" s="5" t="str">
        <f t="shared" si="367"/>
        <v>x</v>
      </c>
      <c r="BW219" s="5" t="str">
        <f t="shared" si="367"/>
        <v>x</v>
      </c>
      <c r="BX219" s="5" t="str">
        <f t="shared" si="367"/>
        <v>x</v>
      </c>
      <c r="BY219" s="5" t="str">
        <f t="shared" si="338"/>
        <v>нет</v>
      </c>
      <c r="BZ219" s="5" t="str">
        <f>"1989"</f>
        <v>1989</v>
      </c>
      <c r="CA219" s="5" t="str">
        <f>"25,00"</f>
        <v>25,00</v>
      </c>
      <c r="CB219" s="5" t="str">
        <f>"2022"</f>
        <v>2022</v>
      </c>
      <c r="CC219" s="5" t="str">
        <f>"1989"</f>
        <v>1989</v>
      </c>
      <c r="CD219" s="5" t="str">
        <f>"26,00"</f>
        <v>26,00</v>
      </c>
      <c r="CE219" s="5" t="str">
        <f>"2023"</f>
        <v>2023</v>
      </c>
      <c r="CF219" s="5" t="str">
        <f>"1989"</f>
        <v>1989</v>
      </c>
      <c r="CG219" s="5" t="str">
        <f>"25,00"</f>
        <v>25,00</v>
      </c>
      <c r="CH219" s="5" t="str">
        <f>"2021"</f>
        <v>2021</v>
      </c>
      <c r="CI219" s="5" t="str">
        <f>"26,00"</f>
        <v>26,00</v>
      </c>
      <c r="CJ219" s="5" t="str">
        <f>"2025"</f>
        <v>2025</v>
      </c>
    </row>
    <row r="220" spans="1:88" ht="11.25" customHeight="1">
      <c r="A220" s="3" t="str">
        <f>"1.207"</f>
        <v>1.207</v>
      </c>
      <c r="B220" s="4" t="str">
        <f>"г. Грязовец, ул. Октябрьская, д.6"</f>
        <v>г. Грязовец, ул. Октябрьская, д.6</v>
      </c>
      <c r="C220" s="7" t="str">
        <f>"2003"</f>
        <v>2003</v>
      </c>
      <c r="D220" s="5" t="str">
        <f>"2003"</f>
        <v>2003</v>
      </c>
      <c r="E220" s="5" t="str">
        <f>"2,00"</f>
        <v>2,00</v>
      </c>
      <c r="F220" s="5" t="str">
        <f>"2040"</f>
        <v>2040</v>
      </c>
      <c r="G220" s="5" t="str">
        <f>"да"</f>
        <v>да</v>
      </c>
      <c r="H220" s="5" t="str">
        <f>""</f>
        <v/>
      </c>
      <c r="I220" s="5" t="str">
        <f>"2,00"</f>
        <v>2,00</v>
      </c>
      <c r="J220" s="5" t="str">
        <f>"2040"</f>
        <v>2040</v>
      </c>
      <c r="K220" s="5" t="str">
        <f>"да"</f>
        <v>да</v>
      </c>
      <c r="L220" s="5" t="str">
        <f>""</f>
        <v/>
      </c>
      <c r="M220" s="5" t="str">
        <f>"2,00"</f>
        <v>2,00</v>
      </c>
      <c r="N220" s="5" t="str">
        <f>"2040"</f>
        <v>2040</v>
      </c>
      <c r="O220" s="8" t="str">
        <f>"2003"</f>
        <v>2003</v>
      </c>
      <c r="P220" s="5" t="str">
        <f>"6,00"</f>
        <v>6,00</v>
      </c>
      <c r="Q220" s="5" t="str">
        <f>"2040"</f>
        <v>2040</v>
      </c>
      <c r="R220" s="5" t="str">
        <f t="shared" si="366"/>
        <v>нет</v>
      </c>
      <c r="S220" s="5" t="str">
        <f t="shared" si="352"/>
        <v>х</v>
      </c>
      <c r="T220" s="5" t="str">
        <f t="shared" si="352"/>
        <v>х</v>
      </c>
      <c r="U220" s="5" t="str">
        <f t="shared" si="352"/>
        <v>х</v>
      </c>
      <c r="V220" s="5" t="str">
        <f>"да"</f>
        <v>да</v>
      </c>
      <c r="W220" s="5" t="str">
        <f t="shared" si="353"/>
        <v>х</v>
      </c>
      <c r="X220" s="5" t="str">
        <f t="shared" si="353"/>
        <v>х</v>
      </c>
      <c r="Y220" s="9" t="str">
        <f t="shared" si="353"/>
        <v>х</v>
      </c>
      <c r="Z220" s="5" t="str">
        <f>"2003"</f>
        <v>2003</v>
      </c>
      <c r="AA220" s="5" t="str">
        <f>"1,00"</f>
        <v>1,00</v>
      </c>
      <c r="AB220" s="5" t="str">
        <f>"2040"</f>
        <v>2040</v>
      </c>
      <c r="AC220" s="5" t="str">
        <f>"да"</f>
        <v>да</v>
      </c>
      <c r="AD220" s="5" t="str">
        <f>"х"</f>
        <v>х</v>
      </c>
      <c r="AE220" s="5" t="str">
        <f>"х"</f>
        <v>х</v>
      </c>
      <c r="AF220" s="5" t="str">
        <f>"х"</f>
        <v>х</v>
      </c>
      <c r="AG220" s="5" t="str">
        <f>"да"</f>
        <v>да</v>
      </c>
      <c r="AH220" s="5" t="str">
        <f>"х"</f>
        <v>х</v>
      </c>
      <c r="AI220" s="5" t="str">
        <f>"х"</f>
        <v>х</v>
      </c>
      <c r="AJ220" s="5" t="str">
        <f>"х"</f>
        <v>х</v>
      </c>
      <c r="AK220" s="8" t="str">
        <f>"2003"</f>
        <v>2003</v>
      </c>
      <c r="AL220" s="5" t="str">
        <f>"6,00"</f>
        <v>6,00</v>
      </c>
      <c r="AM220" s="5" t="str">
        <f>"2040"</f>
        <v>2040</v>
      </c>
      <c r="AN220" s="5" t="str">
        <f>"да"</f>
        <v>да</v>
      </c>
      <c r="AO220" s="5" t="str">
        <f t="shared" si="355"/>
        <v>х</v>
      </c>
      <c r="AP220" s="5" t="str">
        <f t="shared" si="355"/>
        <v>х</v>
      </c>
      <c r="AQ220" s="5" t="str">
        <f t="shared" si="355"/>
        <v>х</v>
      </c>
      <c r="AR220" s="5" t="str">
        <f>"да"</f>
        <v>да</v>
      </c>
      <c r="AS220" s="5" t="str">
        <f t="shared" si="357"/>
        <v>х</v>
      </c>
      <c r="AT220" s="5" t="str">
        <f t="shared" si="357"/>
        <v>х</v>
      </c>
      <c r="AU220" s="5" t="str">
        <f t="shared" si="357"/>
        <v>х</v>
      </c>
      <c r="AV220" s="5" t="str">
        <f>"2003"</f>
        <v>2003</v>
      </c>
      <c r="AW220" s="5" t="str">
        <f>"4,00"</f>
        <v>4,00</v>
      </c>
      <c r="AX220" s="5" t="str">
        <f>"2040"</f>
        <v>2040</v>
      </c>
      <c r="AY220" s="5" t="str">
        <f>"да"</f>
        <v>да</v>
      </c>
      <c r="AZ220" s="5" t="str">
        <f t="shared" si="359"/>
        <v>х</v>
      </c>
      <c r="BA220" s="5" t="str">
        <f t="shared" si="359"/>
        <v>х</v>
      </c>
      <c r="BB220" s="5" t="str">
        <f t="shared" si="359"/>
        <v>х</v>
      </c>
      <c r="BC220" s="5" t="str">
        <f>"да"</f>
        <v>да</v>
      </c>
      <c r="BD220" s="5" t="str">
        <f t="shared" si="361"/>
        <v>х</v>
      </c>
      <c r="BE220" s="5" t="str">
        <f t="shared" si="361"/>
        <v>х</v>
      </c>
      <c r="BF220" s="5" t="str">
        <f t="shared" si="361"/>
        <v>х</v>
      </c>
      <c r="BG220" s="5" t="str">
        <f>"2003"</f>
        <v>2003</v>
      </c>
      <c r="BH220" s="5" t="str">
        <f>"4,00"</f>
        <v>4,00</v>
      </c>
      <c r="BI220" s="5" t="str">
        <f>"2040"</f>
        <v>2040</v>
      </c>
      <c r="BJ220" s="5" t="str">
        <f t="shared" si="362"/>
        <v>нет</v>
      </c>
      <c r="BK220" s="5" t="str">
        <f t="shared" si="363"/>
        <v>х</v>
      </c>
      <c r="BL220" s="5" t="str">
        <f t="shared" si="363"/>
        <v>х</v>
      </c>
      <c r="BM220" s="5" t="str">
        <f t="shared" si="363"/>
        <v>х</v>
      </c>
      <c r="BN220" s="5" t="str">
        <f t="shared" si="368"/>
        <v>нет</v>
      </c>
      <c r="BO220" s="5" t="str">
        <f t="shared" si="365"/>
        <v>х</v>
      </c>
      <c r="BP220" s="5" t="str">
        <f t="shared" si="365"/>
        <v>х</v>
      </c>
      <c r="BQ220" s="5" t="str">
        <f t="shared" si="365"/>
        <v>х</v>
      </c>
      <c r="BR220" s="5" t="str">
        <f>"2003"</f>
        <v>2003</v>
      </c>
      <c r="BS220" s="5" t="str">
        <f>"8,00"</f>
        <v>8,00</v>
      </c>
      <c r="BT220" s="5" t="str">
        <f>"2040"</f>
        <v>2040</v>
      </c>
      <c r="BU220" s="5" t="str">
        <f t="shared" si="339"/>
        <v>нет</v>
      </c>
      <c r="BV220" s="5" t="str">
        <f t="shared" si="367"/>
        <v>x</v>
      </c>
      <c r="BW220" s="5" t="str">
        <f t="shared" si="367"/>
        <v>x</v>
      </c>
      <c r="BX220" s="5" t="str">
        <f t="shared" si="367"/>
        <v>x</v>
      </c>
      <c r="BY220" s="5" t="str">
        <f t="shared" si="338"/>
        <v>нет</v>
      </c>
      <c r="BZ220" s="5" t="str">
        <f>"2003"</f>
        <v>2003</v>
      </c>
      <c r="CA220" s="5" t="str">
        <f>"4,00"</f>
        <v>4,00</v>
      </c>
      <c r="CB220" s="5" t="str">
        <f>"2040"</f>
        <v>2040</v>
      </c>
      <c r="CC220" s="5" t="str">
        <f>"2003"</f>
        <v>2003</v>
      </c>
      <c r="CD220" s="5" t="str">
        <f>"4,00"</f>
        <v>4,00</v>
      </c>
      <c r="CE220" s="5" t="str">
        <f>"2040"</f>
        <v>2040</v>
      </c>
      <c r="CF220" s="5" t="str">
        <f>"2003"</f>
        <v>2003</v>
      </c>
      <c r="CG220" s="5" t="str">
        <f>"4,00"</f>
        <v>4,00</v>
      </c>
      <c r="CH220" s="5" t="str">
        <f>"2040"</f>
        <v>2040</v>
      </c>
      <c r="CI220" s="5" t="str">
        <f>"4,00"</f>
        <v>4,00</v>
      </c>
      <c r="CJ220" s="5" t="str">
        <f>"2044"</f>
        <v>2044</v>
      </c>
    </row>
    <row r="221" spans="1:88" ht="11.25" customHeight="1">
      <c r="A221" s="3" t="str">
        <f>"1.208"</f>
        <v>1.208</v>
      </c>
      <c r="B221" s="4" t="str">
        <f>"г. Грязовец, ул. Октябрьская, д.8"</f>
        <v>г. Грязовец, ул. Октябрьская, д.8</v>
      </c>
      <c r="C221" s="7" t="str">
        <f>"1993"</f>
        <v>1993</v>
      </c>
      <c r="D221" s="5" t="str">
        <f>"1993"</f>
        <v>1993</v>
      </c>
      <c r="E221" s="5" t="str">
        <f>"8,00"</f>
        <v>8,00</v>
      </c>
      <c r="F221" s="5" t="str">
        <f>"2040"</f>
        <v>2040</v>
      </c>
      <c r="G221" s="5" t="str">
        <f>"да"</f>
        <v>да</v>
      </c>
      <c r="H221" s="5" t="str">
        <f>""</f>
        <v/>
      </c>
      <c r="I221" s="5" t="str">
        <f>"8,00"</f>
        <v>8,00</v>
      </c>
      <c r="J221" s="5" t="str">
        <f>"2040"</f>
        <v>2040</v>
      </c>
      <c r="K221" s="5" t="str">
        <f>"да"</f>
        <v>да</v>
      </c>
      <c r="L221" s="5" t="str">
        <f>""</f>
        <v/>
      </c>
      <c r="M221" s="5" t="str">
        <f>"8,00"</f>
        <v>8,00</v>
      </c>
      <c r="N221" s="5" t="str">
        <f>"2040"</f>
        <v>2040</v>
      </c>
      <c r="O221" s="8" t="str">
        <f>"1993"</f>
        <v>1993</v>
      </c>
      <c r="P221" s="5" t="str">
        <f>"10,00"</f>
        <v>10,00</v>
      </c>
      <c r="Q221" s="5" t="str">
        <f>"2040"</f>
        <v>2040</v>
      </c>
      <c r="R221" s="5" t="str">
        <f t="shared" si="366"/>
        <v>нет</v>
      </c>
      <c r="S221" s="5" t="str">
        <f t="shared" si="352"/>
        <v>х</v>
      </c>
      <c r="T221" s="5" t="str">
        <f t="shared" si="352"/>
        <v>х</v>
      </c>
      <c r="U221" s="5" t="str">
        <f t="shared" si="352"/>
        <v>х</v>
      </c>
      <c r="V221" s="5" t="str">
        <f>"да"</f>
        <v>да</v>
      </c>
      <c r="W221" s="5" t="str">
        <f t="shared" si="353"/>
        <v>х</v>
      </c>
      <c r="X221" s="5" t="str">
        <f t="shared" si="353"/>
        <v>х</v>
      </c>
      <c r="Y221" s="9" t="str">
        <f t="shared" si="353"/>
        <v>х</v>
      </c>
      <c r="Z221" s="5" t="str">
        <f>"1993"</f>
        <v>1993</v>
      </c>
      <c r="AA221" s="5" t="str">
        <f>"6,00"</f>
        <v>6,00</v>
      </c>
      <c r="AB221" s="5" t="str">
        <f>"2040"</f>
        <v>2040</v>
      </c>
      <c r="AC221" s="5" t="str">
        <f>"да"</f>
        <v>да</v>
      </c>
      <c r="AD221" s="5" t="str">
        <f>""</f>
        <v/>
      </c>
      <c r="AE221" s="5" t="str">
        <f>"5,00"</f>
        <v>5,00</v>
      </c>
      <c r="AF221" s="5" t="str">
        <f>"2040"</f>
        <v>2040</v>
      </c>
      <c r="AG221" s="5" t="str">
        <f>"да"</f>
        <v>да</v>
      </c>
      <c r="AH221" s="5" t="str">
        <f>""</f>
        <v/>
      </c>
      <c r="AI221" s="5" t="str">
        <f>"5,00"</f>
        <v>5,00</v>
      </c>
      <c r="AJ221" s="5" t="str">
        <f>"2040"</f>
        <v>2040</v>
      </c>
      <c r="AK221" s="8" t="str">
        <f>"1993"</f>
        <v>1993</v>
      </c>
      <c r="AL221" s="5" t="str">
        <f>"46,00"</f>
        <v>46,00</v>
      </c>
      <c r="AM221" s="5" t="str">
        <f>"2025"</f>
        <v>2025</v>
      </c>
      <c r="AN221" s="5" t="str">
        <f>"х"</f>
        <v>х</v>
      </c>
      <c r="AO221" s="5" t="str">
        <f t="shared" si="355"/>
        <v>х</v>
      </c>
      <c r="AP221" s="5" t="str">
        <f t="shared" si="355"/>
        <v>х</v>
      </c>
      <c r="AQ221" s="5" t="str">
        <f t="shared" si="355"/>
        <v>х</v>
      </c>
      <c r="AR221" s="5" t="str">
        <f>"х"</f>
        <v>х</v>
      </c>
      <c r="AS221" s="5" t="str">
        <f t="shared" si="357"/>
        <v>х</v>
      </c>
      <c r="AT221" s="5" t="str">
        <f t="shared" si="357"/>
        <v>х</v>
      </c>
      <c r="AU221" s="5" t="str">
        <f t="shared" si="357"/>
        <v>х</v>
      </c>
      <c r="AV221" s="5" t="str">
        <f>"1993"</f>
        <v>1993</v>
      </c>
      <c r="AW221" s="5" t="str">
        <f>"53,00"</f>
        <v>53,00</v>
      </c>
      <c r="AX221" s="5" t="str">
        <f>"2020"</f>
        <v>2020</v>
      </c>
      <c r="AY221" s="5" t="str">
        <f>"нет"</f>
        <v>нет</v>
      </c>
      <c r="AZ221" s="5" t="str">
        <f t="shared" si="359"/>
        <v>х</v>
      </c>
      <c r="BA221" s="5" t="str">
        <f t="shared" si="359"/>
        <v>х</v>
      </c>
      <c r="BB221" s="5" t="str">
        <f t="shared" si="359"/>
        <v>х</v>
      </c>
      <c r="BC221" s="5" t="str">
        <f>"х"</f>
        <v>х</v>
      </c>
      <c r="BD221" s="5" t="str">
        <f t="shared" si="361"/>
        <v>х</v>
      </c>
      <c r="BE221" s="5" t="str">
        <f t="shared" si="361"/>
        <v>х</v>
      </c>
      <c r="BF221" s="5" t="str">
        <f t="shared" si="361"/>
        <v>х</v>
      </c>
      <c r="BG221" s="5" t="str">
        <f>"1993"</f>
        <v>1993</v>
      </c>
      <c r="BH221" s="5" t="str">
        <f>"48,00"</f>
        <v>48,00</v>
      </c>
      <c r="BI221" s="5" t="str">
        <f>"2025"</f>
        <v>2025</v>
      </c>
      <c r="BJ221" s="5" t="str">
        <f t="shared" si="362"/>
        <v>нет</v>
      </c>
      <c r="BK221" s="5" t="str">
        <f t="shared" si="363"/>
        <v>х</v>
      </c>
      <c r="BL221" s="5" t="str">
        <f t="shared" si="363"/>
        <v>х</v>
      </c>
      <c r="BM221" s="5" t="str">
        <f t="shared" si="363"/>
        <v>х</v>
      </c>
      <c r="BN221" s="5" t="str">
        <f t="shared" si="368"/>
        <v>нет</v>
      </c>
      <c r="BO221" s="5" t="str">
        <f t="shared" si="365"/>
        <v>х</v>
      </c>
      <c r="BP221" s="5" t="str">
        <f t="shared" si="365"/>
        <v>х</v>
      </c>
      <c r="BQ221" s="5" t="str">
        <f t="shared" si="365"/>
        <v>х</v>
      </c>
      <c r="BR221" s="5" t="str">
        <f>"1993"</f>
        <v>1993</v>
      </c>
      <c r="BS221" s="5" t="str">
        <f>"15,00"</f>
        <v>15,00</v>
      </c>
      <c r="BT221" s="5" t="str">
        <f>"2030"</f>
        <v>2030</v>
      </c>
      <c r="BU221" s="5" t="str">
        <f t="shared" si="339"/>
        <v>нет</v>
      </c>
      <c r="BV221" s="5" t="str">
        <f t="shared" si="367"/>
        <v>x</v>
      </c>
      <c r="BW221" s="5" t="str">
        <f t="shared" si="367"/>
        <v>x</v>
      </c>
      <c r="BX221" s="5" t="str">
        <f t="shared" si="367"/>
        <v>x</v>
      </c>
      <c r="BY221" s="5" t="str">
        <f t="shared" si="338"/>
        <v>нет</v>
      </c>
      <c r="BZ221" s="5" t="str">
        <f>"1993"</f>
        <v>1993</v>
      </c>
      <c r="CA221" s="5" t="str">
        <f>"8,00"</f>
        <v>8,00</v>
      </c>
      <c r="CB221" s="5" t="str">
        <f>"2035"</f>
        <v>2035</v>
      </c>
      <c r="CC221" s="5" t="str">
        <f>"1993"</f>
        <v>1993</v>
      </c>
      <c r="CD221" s="5" t="str">
        <f>"10,00"</f>
        <v>10,00</v>
      </c>
      <c r="CE221" s="5" t="str">
        <f>"2035"</f>
        <v>2035</v>
      </c>
      <c r="CF221" s="5" t="str">
        <f>"1993"</f>
        <v>1993</v>
      </c>
      <c r="CG221" s="5" t="str">
        <f>"8,00"</f>
        <v>8,00</v>
      </c>
      <c r="CH221" s="5" t="str">
        <f>"2038"</f>
        <v>2038</v>
      </c>
      <c r="CI221" s="5" t="str">
        <f>"9,00"</f>
        <v>9,00</v>
      </c>
      <c r="CJ221" s="5" t="str">
        <f>"2044"</f>
        <v>2044</v>
      </c>
    </row>
    <row r="222" spans="1:88" ht="11.25" customHeight="1">
      <c r="A222" s="3" t="str">
        <f>"1.209"</f>
        <v>1.209</v>
      </c>
      <c r="B222" s="4" t="str">
        <f>"г. Грязовец, ул. Октябрьская, д.8А"</f>
        <v>г. Грязовец, ул. Октябрьская, д.8А</v>
      </c>
      <c r="C222" s="7" t="str">
        <f>"1997"</f>
        <v>1997</v>
      </c>
      <c r="D222" s="5" t="str">
        <f>"1997"</f>
        <v>1997</v>
      </c>
      <c r="E222" s="5" t="str">
        <f>"6,00"</f>
        <v>6,00</v>
      </c>
      <c r="F222" s="5" t="str">
        <f>"2040"</f>
        <v>2040</v>
      </c>
      <c r="G222" s="5" t="str">
        <f>"да"</f>
        <v>да</v>
      </c>
      <c r="H222" s="5" t="str">
        <f>""</f>
        <v/>
      </c>
      <c r="I222" s="5" t="str">
        <f>"6,00"</f>
        <v>6,00</v>
      </c>
      <c r="J222" s="5" t="str">
        <f>"2040"</f>
        <v>2040</v>
      </c>
      <c r="K222" s="5" t="str">
        <f>"да"</f>
        <v>да</v>
      </c>
      <c r="L222" s="5" t="str">
        <f>""</f>
        <v/>
      </c>
      <c r="M222" s="5" t="str">
        <f>"6,00"</f>
        <v>6,00</v>
      </c>
      <c r="N222" s="5" t="str">
        <f>"2040"</f>
        <v>2040</v>
      </c>
      <c r="O222" s="8" t="str">
        <f>"1997"</f>
        <v>1997</v>
      </c>
      <c r="P222" s="5" t="str">
        <f>"8,00"</f>
        <v>8,00</v>
      </c>
      <c r="Q222" s="5" t="str">
        <f>"2040"</f>
        <v>2040</v>
      </c>
      <c r="R222" s="5" t="str">
        <f t="shared" si="366"/>
        <v>нет</v>
      </c>
      <c r="S222" s="5" t="str">
        <f t="shared" si="352"/>
        <v>х</v>
      </c>
      <c r="T222" s="5" t="str">
        <f t="shared" si="352"/>
        <v>х</v>
      </c>
      <c r="U222" s="5" t="str">
        <f t="shared" si="352"/>
        <v>х</v>
      </c>
      <c r="V222" s="5" t="str">
        <f>"нет"</f>
        <v>нет</v>
      </c>
      <c r="W222" s="5" t="str">
        <f t="shared" si="353"/>
        <v>х</v>
      </c>
      <c r="X222" s="5" t="str">
        <f t="shared" si="353"/>
        <v>х</v>
      </c>
      <c r="Y222" s="9" t="str">
        <f t="shared" si="353"/>
        <v>х</v>
      </c>
      <c r="Z222" s="5" t="str">
        <f>"1997"</f>
        <v>1997</v>
      </c>
      <c r="AA222" s="5" t="str">
        <f>"3,00"</f>
        <v>3,00</v>
      </c>
      <c r="AB222" s="5" t="str">
        <f>"2040"</f>
        <v>2040</v>
      </c>
      <c r="AC222" s="5" t="str">
        <f>"да"</f>
        <v>да</v>
      </c>
      <c r="AD222" s="5" t="str">
        <f>""</f>
        <v/>
      </c>
      <c r="AE222" s="5" t="str">
        <f>"3,00"</f>
        <v>3,00</v>
      </c>
      <c r="AF222" s="5" t="str">
        <f>"2040"</f>
        <v>2040</v>
      </c>
      <c r="AG222" s="5" t="str">
        <f>"да"</f>
        <v>да</v>
      </c>
      <c r="AH222" s="5" t="str">
        <f>""</f>
        <v/>
      </c>
      <c r="AI222" s="5" t="str">
        <f>"3,00"</f>
        <v>3,00</v>
      </c>
      <c r="AJ222" s="5" t="str">
        <f>"2040"</f>
        <v>2040</v>
      </c>
      <c r="AK222" s="8" t="str">
        <f>"1997"</f>
        <v>1997</v>
      </c>
      <c r="AL222" s="5" t="str">
        <f>"16,00"</f>
        <v>16,00</v>
      </c>
      <c r="AM222" s="5" t="str">
        <f>"2038"</f>
        <v>2038</v>
      </c>
      <c r="AN222" s="5" t="str">
        <f>"да"</f>
        <v>да</v>
      </c>
      <c r="AO222" s="5" t="str">
        <f t="shared" si="355"/>
        <v>х</v>
      </c>
      <c r="AP222" s="5" t="str">
        <f t="shared" si="355"/>
        <v>х</v>
      </c>
      <c r="AQ222" s="5" t="str">
        <f t="shared" si="355"/>
        <v>х</v>
      </c>
      <c r="AR222" s="5" t="str">
        <f>"да"</f>
        <v>да</v>
      </c>
      <c r="AS222" s="5" t="str">
        <f t="shared" si="357"/>
        <v>х</v>
      </c>
      <c r="AT222" s="5" t="str">
        <f t="shared" si="357"/>
        <v>х</v>
      </c>
      <c r="AU222" s="5" t="str">
        <f t="shared" si="357"/>
        <v>х</v>
      </c>
      <c r="AV222" s="5" t="str">
        <f>"1997"</f>
        <v>1997</v>
      </c>
      <c r="AW222" s="5" t="str">
        <f>"14,00"</f>
        <v>14,00</v>
      </c>
      <c r="AX222" s="5" t="str">
        <f>"2038"</f>
        <v>2038</v>
      </c>
      <c r="AY222" s="5" t="str">
        <f>"да"</f>
        <v>да</v>
      </c>
      <c r="AZ222" s="5" t="str">
        <f t="shared" si="359"/>
        <v>х</v>
      </c>
      <c r="BA222" s="5" t="str">
        <f t="shared" si="359"/>
        <v>х</v>
      </c>
      <c r="BB222" s="5" t="str">
        <f t="shared" si="359"/>
        <v>х</v>
      </c>
      <c r="BC222" s="5" t="str">
        <f>"да"</f>
        <v>да</v>
      </c>
      <c r="BD222" s="5" t="str">
        <f t="shared" si="361"/>
        <v>х</v>
      </c>
      <c r="BE222" s="5" t="str">
        <f t="shared" si="361"/>
        <v>х</v>
      </c>
      <c r="BF222" s="5" t="str">
        <f t="shared" si="361"/>
        <v>х</v>
      </c>
      <c r="BG222" s="5" t="str">
        <f>"1997"</f>
        <v>1997</v>
      </c>
      <c r="BH222" s="5" t="str">
        <f>"16,00"</f>
        <v>16,00</v>
      </c>
      <c r="BI222" s="5" t="str">
        <f>"2038"</f>
        <v>2038</v>
      </c>
      <c r="BJ222" s="5" t="str">
        <f t="shared" si="362"/>
        <v>нет</v>
      </c>
      <c r="BK222" s="5" t="str">
        <f t="shared" si="363"/>
        <v>х</v>
      </c>
      <c r="BL222" s="5" t="str">
        <f t="shared" si="363"/>
        <v>х</v>
      </c>
      <c r="BM222" s="5" t="str">
        <f t="shared" si="363"/>
        <v>х</v>
      </c>
      <c r="BN222" s="5" t="str">
        <f t="shared" si="368"/>
        <v>нет</v>
      </c>
      <c r="BO222" s="5" t="str">
        <f t="shared" si="365"/>
        <v>х</v>
      </c>
      <c r="BP222" s="5" t="str">
        <f t="shared" si="365"/>
        <v>х</v>
      </c>
      <c r="BQ222" s="5" t="str">
        <f t="shared" si="365"/>
        <v>х</v>
      </c>
      <c r="BR222" s="5" t="str">
        <f>"1997"</f>
        <v>1997</v>
      </c>
      <c r="BS222" s="5" t="str">
        <f>"24,00"</f>
        <v>24,00</v>
      </c>
      <c r="BT222" s="5" t="str">
        <f>"2025"</f>
        <v>2025</v>
      </c>
      <c r="BU222" s="5" t="str">
        <f t="shared" si="339"/>
        <v>нет</v>
      </c>
      <c r="BV222" s="5" t="str">
        <f t="shared" si="367"/>
        <v>x</v>
      </c>
      <c r="BW222" s="5" t="str">
        <f t="shared" si="367"/>
        <v>x</v>
      </c>
      <c r="BX222" s="5" t="str">
        <f t="shared" si="367"/>
        <v>x</v>
      </c>
      <c r="BY222" s="5" t="str">
        <f t="shared" si="338"/>
        <v>нет</v>
      </c>
      <c r="BZ222" s="5" t="str">
        <f>"1997"</f>
        <v>1997</v>
      </c>
      <c r="CA222" s="5" t="str">
        <f>"8,00"</f>
        <v>8,00</v>
      </c>
      <c r="CB222" s="5" t="str">
        <f>"2040"</f>
        <v>2040</v>
      </c>
      <c r="CC222" s="5" t="str">
        <f>"1997"</f>
        <v>1997</v>
      </c>
      <c r="CD222" s="5" t="str">
        <f>"10,00"</f>
        <v>10,00</v>
      </c>
      <c r="CE222" s="5" t="str">
        <f>"2040"</f>
        <v>2040</v>
      </c>
      <c r="CF222" s="5" t="str">
        <f>"1997"</f>
        <v>1997</v>
      </c>
      <c r="CG222" s="5" t="str">
        <f>"6,00"</f>
        <v>6,00</v>
      </c>
      <c r="CH222" s="5" t="str">
        <f>"2040"</f>
        <v>2040</v>
      </c>
      <c r="CI222" s="5" t="str">
        <f>"8,00"</f>
        <v>8,00</v>
      </c>
      <c r="CJ222" s="5" t="str">
        <f>"2044"</f>
        <v>2044</v>
      </c>
    </row>
    <row r="223" spans="1:88" ht="11.25" customHeight="1">
      <c r="A223" s="3" t="str">
        <f>"1.210"</f>
        <v>1.210</v>
      </c>
      <c r="B223" s="4" t="str">
        <f>"г. Грязовец, ул. Победы, д.108"</f>
        <v>г. Грязовец, ул. Победы, д.108</v>
      </c>
      <c r="C223" s="7" t="str">
        <f>"2011"</f>
        <v>2011</v>
      </c>
      <c r="D223" s="5" t="str">
        <f>""</f>
        <v/>
      </c>
      <c r="E223" s="5" t="str">
        <f>"2,00"</f>
        <v>2,00</v>
      </c>
      <c r="F223" s="5" t="str">
        <f>"2044"</f>
        <v>2044</v>
      </c>
      <c r="G223" s="5" t="str">
        <f t="shared" ref="G223:G257" si="369">"нет"</f>
        <v>нет</v>
      </c>
      <c r="H223" s="5" t="str">
        <f>""</f>
        <v/>
      </c>
      <c r="I223" s="5" t="str">
        <f>""</f>
        <v/>
      </c>
      <c r="J223" s="5" t="str">
        <f>""</f>
        <v/>
      </c>
      <c r="K223" s="5" t="str">
        <f t="shared" ref="K223:K257" si="370">"нет"</f>
        <v>нет</v>
      </c>
      <c r="L223" s="5" t="str">
        <f>""</f>
        <v/>
      </c>
      <c r="M223" s="5" t="str">
        <f>""</f>
        <v/>
      </c>
      <c r="N223" s="5" t="str">
        <f>""</f>
        <v/>
      </c>
      <c r="O223" s="8" t="str">
        <f>""</f>
        <v/>
      </c>
      <c r="P223" s="5" t="str">
        <f>"1,00"</f>
        <v>1,00</v>
      </c>
      <c r="Q223" s="5" t="str">
        <f>"2044"</f>
        <v>2044</v>
      </c>
      <c r="R223" s="5" t="str">
        <f t="shared" si="366"/>
        <v>нет</v>
      </c>
      <c r="S223" s="5" t="str">
        <f>""</f>
        <v/>
      </c>
      <c r="T223" s="5" t="str">
        <f>""</f>
        <v/>
      </c>
      <c r="U223" s="5" t="str">
        <f>""</f>
        <v/>
      </c>
      <c r="V223" s="5" t="str">
        <f>"нет"</f>
        <v>нет</v>
      </c>
      <c r="W223" s="5" t="str">
        <f>""</f>
        <v/>
      </c>
      <c r="X223" s="5" t="str">
        <f>""</f>
        <v/>
      </c>
      <c r="Y223" s="9" t="str">
        <f>""</f>
        <v/>
      </c>
      <c r="Z223" s="5" t="str">
        <f t="shared" ref="Z223:AJ223" si="371">"х"</f>
        <v>х</v>
      </c>
      <c r="AA223" s="5" t="str">
        <f t="shared" si="371"/>
        <v>х</v>
      </c>
      <c r="AB223" s="5" t="str">
        <f t="shared" si="371"/>
        <v>х</v>
      </c>
      <c r="AC223" s="5" t="str">
        <f t="shared" si="371"/>
        <v>х</v>
      </c>
      <c r="AD223" s="5" t="str">
        <f t="shared" si="371"/>
        <v>х</v>
      </c>
      <c r="AE223" s="5" t="str">
        <f t="shared" si="371"/>
        <v>х</v>
      </c>
      <c r="AF223" s="5" t="str">
        <f t="shared" si="371"/>
        <v>х</v>
      </c>
      <c r="AG223" s="5" t="str">
        <f t="shared" si="371"/>
        <v>х</v>
      </c>
      <c r="AH223" s="5" t="str">
        <f t="shared" si="371"/>
        <v>х</v>
      </c>
      <c r="AI223" s="5" t="str">
        <f t="shared" si="371"/>
        <v>х</v>
      </c>
      <c r="AJ223" s="5" t="str">
        <f t="shared" si="371"/>
        <v>х</v>
      </c>
      <c r="AK223" s="8" t="str">
        <f>""</f>
        <v/>
      </c>
      <c r="AL223" s="5" t="str">
        <f>""</f>
        <v/>
      </c>
      <c r="AM223" s="5" t="str">
        <f>""</f>
        <v/>
      </c>
      <c r="AN223" s="5" t="str">
        <f>""</f>
        <v/>
      </c>
      <c r="AO223" s="5" t="str">
        <f>""</f>
        <v/>
      </c>
      <c r="AP223" s="5" t="str">
        <f>""</f>
        <v/>
      </c>
      <c r="AQ223" s="5" t="str">
        <f>""</f>
        <v/>
      </c>
      <c r="AR223" s="5" t="str">
        <f>""</f>
        <v/>
      </c>
      <c r="AS223" s="5" t="str">
        <f>""</f>
        <v/>
      </c>
      <c r="AT223" s="5" t="str">
        <f>""</f>
        <v/>
      </c>
      <c r="AU223" s="5" t="str">
        <f>""</f>
        <v/>
      </c>
      <c r="AV223" s="5" t="str">
        <f>""</f>
        <v/>
      </c>
      <c r="AW223" s="5" t="str">
        <f>""</f>
        <v/>
      </c>
      <c r="AX223" s="5" t="str">
        <f>""</f>
        <v/>
      </c>
      <c r="AY223" s="5" t="str">
        <f>""</f>
        <v/>
      </c>
      <c r="AZ223" s="5" t="str">
        <f>""</f>
        <v/>
      </c>
      <c r="BA223" s="5" t="str">
        <f>""</f>
        <v/>
      </c>
      <c r="BB223" s="5" t="str">
        <f>""</f>
        <v/>
      </c>
      <c r="BC223" s="5" t="str">
        <f>""</f>
        <v/>
      </c>
      <c r="BD223" s="5" t="str">
        <f>""</f>
        <v/>
      </c>
      <c r="BE223" s="5" t="str">
        <f>""</f>
        <v/>
      </c>
      <c r="BF223" s="5" t="str">
        <f>""</f>
        <v/>
      </c>
      <c r="BG223" s="5" t="str">
        <f>""</f>
        <v/>
      </c>
      <c r="BH223" s="5" t="str">
        <f>"1,00"</f>
        <v>1,00</v>
      </c>
      <c r="BI223" s="5" t="str">
        <f>"2044"</f>
        <v>2044</v>
      </c>
      <c r="BJ223" s="5" t="str">
        <f t="shared" si="362"/>
        <v>нет</v>
      </c>
      <c r="BK223" s="5" t="str">
        <f>""</f>
        <v/>
      </c>
      <c r="BL223" s="5" t="str">
        <f>""</f>
        <v/>
      </c>
      <c r="BM223" s="5" t="str">
        <f>""</f>
        <v/>
      </c>
      <c r="BN223" s="5" t="str">
        <f t="shared" si="368"/>
        <v>нет</v>
      </c>
      <c r="BO223" s="5" t="str">
        <f>""</f>
        <v/>
      </c>
      <c r="BP223" s="5" t="str">
        <f>""</f>
        <v/>
      </c>
      <c r="BQ223" s="5" t="str">
        <f>""</f>
        <v/>
      </c>
      <c r="BR223" s="5" t="str">
        <f>""</f>
        <v/>
      </c>
      <c r="BS223" s="5" t="str">
        <f>"5,00"</f>
        <v>5,00</v>
      </c>
      <c r="BT223" s="5" t="str">
        <f>"2044"</f>
        <v>2044</v>
      </c>
      <c r="BU223" s="5" t="str">
        <f t="shared" si="339"/>
        <v>нет</v>
      </c>
      <c r="BV223" s="5" t="str">
        <f t="shared" si="367"/>
        <v>x</v>
      </c>
      <c r="BW223" s="5" t="str">
        <f t="shared" si="367"/>
        <v>x</v>
      </c>
      <c r="BX223" s="5" t="str">
        <f t="shared" si="367"/>
        <v>x</v>
      </c>
      <c r="BY223" s="5" t="str">
        <f t="shared" si="338"/>
        <v>нет</v>
      </c>
      <c r="BZ223" s="5" t="str">
        <f>"x"</f>
        <v>x</v>
      </c>
      <c r="CA223" s="5" t="str">
        <f>"x"</f>
        <v>x</v>
      </c>
      <c r="CB223" s="5" t="str">
        <f>"x"</f>
        <v>x</v>
      </c>
      <c r="CC223" s="5" t="str">
        <f>""</f>
        <v/>
      </c>
      <c r="CD223" s="5" t="str">
        <f>"1,00"</f>
        <v>1,00</v>
      </c>
      <c r="CE223" s="5" t="str">
        <f>"2044"</f>
        <v>2044</v>
      </c>
      <c r="CF223" s="5" t="str">
        <f>""</f>
        <v/>
      </c>
      <c r="CG223" s="5" t="str">
        <f>"1,00"</f>
        <v>1,00</v>
      </c>
      <c r="CH223" s="5" t="str">
        <f>"2044"</f>
        <v>2044</v>
      </c>
      <c r="CI223" s="5" t="str">
        <f>"1,00"</f>
        <v>1,00</v>
      </c>
      <c r="CJ223" s="5" t="str">
        <f>"2044"</f>
        <v>2044</v>
      </c>
    </row>
    <row r="224" spans="1:88" ht="11.25" customHeight="1">
      <c r="A224" s="3" t="str">
        <f>"1.211"</f>
        <v>1.211</v>
      </c>
      <c r="B224" s="4" t="str">
        <f>"г. Грязовец, ул. Победы, д.15"</f>
        <v>г. Грязовец, ул. Победы, д.15</v>
      </c>
      <c r="C224" s="7" t="str">
        <f>"1958"</f>
        <v>1958</v>
      </c>
      <c r="D224" s="5" t="str">
        <f>"1958"</f>
        <v>1958</v>
      </c>
      <c r="E224" s="5" t="str">
        <f>"55,00"</f>
        <v>55,00</v>
      </c>
      <c r="F224" s="5" t="str">
        <f>"2019"</f>
        <v>2019</v>
      </c>
      <c r="G224" s="5" t="str">
        <f t="shared" si="369"/>
        <v>нет</v>
      </c>
      <c r="H224" s="5" t="str">
        <f>""</f>
        <v/>
      </c>
      <c r="I224" s="5" t="str">
        <f>""</f>
        <v/>
      </c>
      <c r="J224" s="5" t="str">
        <f>""</f>
        <v/>
      </c>
      <c r="K224" s="5" t="str">
        <f t="shared" si="370"/>
        <v>нет</v>
      </c>
      <c r="L224" s="5" t="str">
        <f>""</f>
        <v/>
      </c>
      <c r="M224" s="5" t="str">
        <f>""</f>
        <v/>
      </c>
      <c r="N224" s="5" t="str">
        <f>""</f>
        <v/>
      </c>
      <c r="O224" s="8" t="str">
        <f>"1958"</f>
        <v>1958</v>
      </c>
      <c r="P224" s="5" t="str">
        <f>"48,00"</f>
        <v>48,00</v>
      </c>
      <c r="Q224" s="5" t="str">
        <f>"2020"</f>
        <v>2020</v>
      </c>
      <c r="R224" s="5" t="str">
        <f t="shared" si="366"/>
        <v>нет</v>
      </c>
      <c r="S224" s="5" t="str">
        <f t="shared" ref="S224:U245" si="372">"х"</f>
        <v>х</v>
      </c>
      <c r="T224" s="5" t="str">
        <f t="shared" si="372"/>
        <v>х</v>
      </c>
      <c r="U224" s="5" t="str">
        <f t="shared" si="372"/>
        <v>х</v>
      </c>
      <c r="V224" s="5" t="str">
        <f>"нет"</f>
        <v>нет</v>
      </c>
      <c r="W224" s="5" t="str">
        <f t="shared" ref="W224:Y245" si="373">"х"</f>
        <v>х</v>
      </c>
      <c r="X224" s="5" t="str">
        <f t="shared" si="373"/>
        <v>х</v>
      </c>
      <c r="Y224" s="9" t="str">
        <f t="shared" si="373"/>
        <v>х</v>
      </c>
      <c r="Z224" s="5" t="str">
        <f>"1958"</f>
        <v>1958</v>
      </c>
      <c r="AA224" s="5" t="str">
        <f>"63,00"</f>
        <v>63,00</v>
      </c>
      <c r="AB224" s="5" t="str">
        <f>"2019"</f>
        <v>2019</v>
      </c>
      <c r="AC224" s="5" t="str">
        <f t="shared" ref="AC224:AC242" si="374">"нет"</f>
        <v>нет</v>
      </c>
      <c r="AD224" s="5" t="str">
        <f>""</f>
        <v/>
      </c>
      <c r="AE224" s="5" t="str">
        <f>""</f>
        <v/>
      </c>
      <c r="AF224" s="5" t="str">
        <f>""</f>
        <v/>
      </c>
      <c r="AG224" s="5" t="str">
        <f t="shared" ref="AG224:AG242" si="375">"нет"</f>
        <v>нет</v>
      </c>
      <c r="AH224" s="5" t="str">
        <f>""</f>
        <v/>
      </c>
      <c r="AI224" s="5" t="str">
        <f>""</f>
        <v/>
      </c>
      <c r="AJ224" s="5" t="str">
        <f>""</f>
        <v/>
      </c>
      <c r="AK224" s="8" t="str">
        <f>"1958"</f>
        <v>1958</v>
      </c>
      <c r="AL224" s="5" t="str">
        <f>"64,00"</f>
        <v>64,00</v>
      </c>
      <c r="AM224" s="5" t="str">
        <f>"2018"</f>
        <v>2018</v>
      </c>
      <c r="AN224" s="5" t="str">
        <f>"нет"</f>
        <v>нет</v>
      </c>
      <c r="AO224" s="5" t="str">
        <f t="shared" ref="AO224:AQ245" si="376">"х"</f>
        <v>х</v>
      </c>
      <c r="AP224" s="5" t="str">
        <f t="shared" si="376"/>
        <v>х</v>
      </c>
      <c r="AQ224" s="5" t="str">
        <f t="shared" si="376"/>
        <v>х</v>
      </c>
      <c r="AR224" s="5" t="str">
        <f>"нет"</f>
        <v>нет</v>
      </c>
      <c r="AS224" s="5" t="str">
        <f t="shared" ref="AS224:AU245" si="377">"х"</f>
        <v>х</v>
      </c>
      <c r="AT224" s="5" t="str">
        <f t="shared" si="377"/>
        <v>х</v>
      </c>
      <c r="AU224" s="5" t="str">
        <f t="shared" si="377"/>
        <v>х</v>
      </c>
      <c r="AV224" s="5" t="str">
        <f>"1958"</f>
        <v>1958</v>
      </c>
      <c r="AW224" s="5" t="str">
        <f>"63,00"</f>
        <v>63,00</v>
      </c>
      <c r="AX224" s="5" t="str">
        <f>"2018"</f>
        <v>2018</v>
      </c>
      <c r="AY224" s="5" t="str">
        <f>"нет"</f>
        <v>нет</v>
      </c>
      <c r="AZ224" s="5" t="str">
        <f t="shared" ref="AZ224:BB245" si="378">"х"</f>
        <v>х</v>
      </c>
      <c r="BA224" s="5" t="str">
        <f t="shared" si="378"/>
        <v>х</v>
      </c>
      <c r="BB224" s="5" t="str">
        <f t="shared" si="378"/>
        <v>х</v>
      </c>
      <c r="BC224" s="5" t="str">
        <f>"нет"</f>
        <v>нет</v>
      </c>
      <c r="BD224" s="5" t="str">
        <f t="shared" ref="BD224:BF245" si="379">"х"</f>
        <v>х</v>
      </c>
      <c r="BE224" s="5" t="str">
        <f t="shared" si="379"/>
        <v>х</v>
      </c>
      <c r="BF224" s="5" t="str">
        <f t="shared" si="379"/>
        <v>х</v>
      </c>
      <c r="BG224" s="5" t="str">
        <f>"1958"</f>
        <v>1958</v>
      </c>
      <c r="BH224" s="5" t="str">
        <f>"69,00"</f>
        <v>69,00</v>
      </c>
      <c r="BI224" s="5" t="str">
        <f>"2018"</f>
        <v>2018</v>
      </c>
      <c r="BJ224" s="5" t="str">
        <f t="shared" si="362"/>
        <v>нет</v>
      </c>
      <c r="BK224" s="5" t="str">
        <f t="shared" ref="BK224:BM245" si="380">"х"</f>
        <v>х</v>
      </c>
      <c r="BL224" s="5" t="str">
        <f t="shared" si="380"/>
        <v>х</v>
      </c>
      <c r="BM224" s="5" t="str">
        <f t="shared" si="380"/>
        <v>х</v>
      </c>
      <c r="BN224" s="5" t="str">
        <f t="shared" si="368"/>
        <v>нет</v>
      </c>
      <c r="BO224" s="5" t="str">
        <f t="shared" ref="BO224:BQ245" si="381">"х"</f>
        <v>х</v>
      </c>
      <c r="BP224" s="5" t="str">
        <f t="shared" si="381"/>
        <v>х</v>
      </c>
      <c r="BQ224" s="5" t="str">
        <f t="shared" si="381"/>
        <v>х</v>
      </c>
      <c r="BR224" s="5" t="str">
        <f>"1958"</f>
        <v>1958</v>
      </c>
      <c r="BS224" s="5" t="str">
        <f>"73,00"</f>
        <v>73,00</v>
      </c>
      <c r="BT224" s="5" t="str">
        <f>"2018"</f>
        <v>2018</v>
      </c>
      <c r="BU224" s="5" t="str">
        <f t="shared" si="339"/>
        <v>нет</v>
      </c>
      <c r="BV224" s="5" t="str">
        <f t="shared" si="367"/>
        <v>x</v>
      </c>
      <c r="BW224" s="5" t="str">
        <f t="shared" si="367"/>
        <v>x</v>
      </c>
      <c r="BX224" s="5" t="str">
        <f t="shared" si="367"/>
        <v>x</v>
      </c>
      <c r="BY224" s="5" t="str">
        <f t="shared" si="338"/>
        <v>нет</v>
      </c>
      <c r="BZ224" s="5" t="str">
        <f>"1958"</f>
        <v>1958</v>
      </c>
      <c r="CA224" s="5" t="str">
        <f>"72,00"</f>
        <v>72,00</v>
      </c>
      <c r="CB224" s="5" t="str">
        <f>"2018"</f>
        <v>2018</v>
      </c>
      <c r="CC224" s="5" t="str">
        <f>"1958"</f>
        <v>1958</v>
      </c>
      <c r="CD224" s="5" t="str">
        <f>"73,00"</f>
        <v>73,00</v>
      </c>
      <c r="CE224" s="5" t="str">
        <f>"2018"</f>
        <v>2018</v>
      </c>
      <c r="CF224" s="5" t="str">
        <f>"1958"</f>
        <v>1958</v>
      </c>
      <c r="CG224" s="5" t="str">
        <f>"72,00"</f>
        <v>72,00</v>
      </c>
      <c r="CH224" s="5" t="str">
        <f>"2018"</f>
        <v>2018</v>
      </c>
      <c r="CI224" s="5" t="str">
        <f>"72,00"</f>
        <v>72,00</v>
      </c>
      <c r="CJ224" s="5" t="str">
        <f>"2020"</f>
        <v>2020</v>
      </c>
    </row>
    <row r="225" spans="1:88" ht="11.25" customHeight="1">
      <c r="A225" s="3" t="str">
        <f>"1.212"</f>
        <v>1.212</v>
      </c>
      <c r="B225" s="4" t="str">
        <f>"г. Грязовец, ул. Победы, д.25"</f>
        <v>г. Грязовец, ул. Победы, д.25</v>
      </c>
      <c r="C225" s="7" t="str">
        <f>"1979"</f>
        <v>1979</v>
      </c>
      <c r="D225" s="5" t="str">
        <f>"1979"</f>
        <v>1979</v>
      </c>
      <c r="E225" s="5" t="str">
        <f>"33,00"</f>
        <v>33,00</v>
      </c>
      <c r="F225" s="5" t="str">
        <f>"2021"</f>
        <v>2021</v>
      </c>
      <c r="G225" s="5" t="str">
        <f t="shared" si="369"/>
        <v>нет</v>
      </c>
      <c r="H225" s="5" t="str">
        <f>""</f>
        <v/>
      </c>
      <c r="I225" s="5" t="str">
        <f>""</f>
        <v/>
      </c>
      <c r="J225" s="5" t="str">
        <f>""</f>
        <v/>
      </c>
      <c r="K225" s="5" t="str">
        <f t="shared" si="370"/>
        <v>нет</v>
      </c>
      <c r="L225" s="5" t="str">
        <f>""</f>
        <v/>
      </c>
      <c r="M225" s="5" t="str">
        <f>""</f>
        <v/>
      </c>
      <c r="N225" s="5" t="str">
        <f>""</f>
        <v/>
      </c>
      <c r="O225" s="8" t="str">
        <f>"1979"</f>
        <v>1979</v>
      </c>
      <c r="P225" s="5" t="str">
        <f>"32,00"</f>
        <v>32,00</v>
      </c>
      <c r="Q225" s="5" t="str">
        <f>"2024"</f>
        <v>2024</v>
      </c>
      <c r="R225" s="5" t="str">
        <f t="shared" si="366"/>
        <v>нет</v>
      </c>
      <c r="S225" s="5" t="str">
        <f t="shared" si="372"/>
        <v>х</v>
      </c>
      <c r="T225" s="5" t="str">
        <f t="shared" si="372"/>
        <v>х</v>
      </c>
      <c r="U225" s="5" t="str">
        <f t="shared" si="372"/>
        <v>х</v>
      </c>
      <c r="V225" s="5" t="str">
        <f>"нет"</f>
        <v>нет</v>
      </c>
      <c r="W225" s="5" t="str">
        <f t="shared" si="373"/>
        <v>х</v>
      </c>
      <c r="X225" s="5" t="str">
        <f t="shared" si="373"/>
        <v>х</v>
      </c>
      <c r="Y225" s="9" t="str">
        <f t="shared" si="373"/>
        <v>х</v>
      </c>
      <c r="Z225" s="5" t="str">
        <f>"1979"</f>
        <v>1979</v>
      </c>
      <c r="AA225" s="5" t="str">
        <f>"30,00"</f>
        <v>30,00</v>
      </c>
      <c r="AB225" s="5" t="str">
        <f>"2024"</f>
        <v>2024</v>
      </c>
      <c r="AC225" s="5" t="str">
        <f t="shared" si="374"/>
        <v>нет</v>
      </c>
      <c r="AD225" s="5" t="str">
        <f>""</f>
        <v/>
      </c>
      <c r="AE225" s="5" t="str">
        <f>""</f>
        <v/>
      </c>
      <c r="AF225" s="5" t="str">
        <f>""</f>
        <v/>
      </c>
      <c r="AG225" s="5" t="str">
        <f t="shared" si="375"/>
        <v>нет</v>
      </c>
      <c r="AH225" s="5" t="str">
        <f>""</f>
        <v/>
      </c>
      <c r="AI225" s="5" t="str">
        <f>""</f>
        <v/>
      </c>
      <c r="AJ225" s="5" t="str">
        <f>""</f>
        <v/>
      </c>
      <c r="AK225" s="8" t="str">
        <f>"1979"</f>
        <v>1979</v>
      </c>
      <c r="AL225" s="5" t="str">
        <f>"34,00"</f>
        <v>34,00</v>
      </c>
      <c r="AM225" s="5" t="str">
        <f>"2023"</f>
        <v>2023</v>
      </c>
      <c r="AN225" s="5" t="str">
        <f>"нет"</f>
        <v>нет</v>
      </c>
      <c r="AO225" s="5" t="str">
        <f t="shared" si="376"/>
        <v>х</v>
      </c>
      <c r="AP225" s="5" t="str">
        <f t="shared" si="376"/>
        <v>х</v>
      </c>
      <c r="AQ225" s="5" t="str">
        <f t="shared" si="376"/>
        <v>х</v>
      </c>
      <c r="AR225" s="5" t="str">
        <f>"нет"</f>
        <v>нет</v>
      </c>
      <c r="AS225" s="5" t="str">
        <f t="shared" si="377"/>
        <v>х</v>
      </c>
      <c r="AT225" s="5" t="str">
        <f t="shared" si="377"/>
        <v>х</v>
      </c>
      <c r="AU225" s="5" t="str">
        <f t="shared" si="377"/>
        <v>х</v>
      </c>
      <c r="AV225" s="5" t="str">
        <f>"1979"</f>
        <v>1979</v>
      </c>
      <c r="AW225" s="5" t="str">
        <f>"39,00"</f>
        <v>39,00</v>
      </c>
      <c r="AX225" s="5" t="str">
        <f>"2024"</f>
        <v>2024</v>
      </c>
      <c r="AY225" s="5" t="str">
        <f>"нет"</f>
        <v>нет</v>
      </c>
      <c r="AZ225" s="5" t="str">
        <f t="shared" si="378"/>
        <v>х</v>
      </c>
      <c r="BA225" s="5" t="str">
        <f t="shared" si="378"/>
        <v>х</v>
      </c>
      <c r="BB225" s="5" t="str">
        <f t="shared" si="378"/>
        <v>х</v>
      </c>
      <c r="BC225" s="5" t="str">
        <f>"нет"</f>
        <v>нет</v>
      </c>
      <c r="BD225" s="5" t="str">
        <f t="shared" si="379"/>
        <v>х</v>
      </c>
      <c r="BE225" s="5" t="str">
        <f t="shared" si="379"/>
        <v>х</v>
      </c>
      <c r="BF225" s="5" t="str">
        <f t="shared" si="379"/>
        <v>х</v>
      </c>
      <c r="BG225" s="5" t="str">
        <f>"1979"</f>
        <v>1979</v>
      </c>
      <c r="BH225" s="5" t="str">
        <f>"48,00"</f>
        <v>48,00</v>
      </c>
      <c r="BI225" s="5" t="str">
        <f>"2023"</f>
        <v>2023</v>
      </c>
      <c r="BJ225" s="5" t="str">
        <f t="shared" si="362"/>
        <v>нет</v>
      </c>
      <c r="BK225" s="5" t="str">
        <f t="shared" si="380"/>
        <v>х</v>
      </c>
      <c r="BL225" s="5" t="str">
        <f t="shared" si="380"/>
        <v>х</v>
      </c>
      <c r="BM225" s="5" t="str">
        <f t="shared" si="380"/>
        <v>х</v>
      </c>
      <c r="BN225" s="5" t="str">
        <f t="shared" si="368"/>
        <v>нет</v>
      </c>
      <c r="BO225" s="5" t="str">
        <f t="shared" si="381"/>
        <v>х</v>
      </c>
      <c r="BP225" s="5" t="str">
        <f t="shared" si="381"/>
        <v>х</v>
      </c>
      <c r="BQ225" s="5" t="str">
        <f t="shared" si="381"/>
        <v>х</v>
      </c>
      <c r="BR225" s="5" t="str">
        <f>"1979"</f>
        <v>1979</v>
      </c>
      <c r="BS225" s="5" t="str">
        <f>"47,00"</f>
        <v>47,00</v>
      </c>
      <c r="BT225" s="5" t="str">
        <f>"2022"</f>
        <v>2022</v>
      </c>
      <c r="BU225" s="5" t="str">
        <f t="shared" si="339"/>
        <v>нет</v>
      </c>
      <c r="BV225" s="5" t="str">
        <f t="shared" si="367"/>
        <v>x</v>
      </c>
      <c r="BW225" s="5" t="str">
        <f t="shared" si="367"/>
        <v>x</v>
      </c>
      <c r="BX225" s="5" t="str">
        <f t="shared" si="367"/>
        <v>x</v>
      </c>
      <c r="BY225" s="5" t="str">
        <f t="shared" si="338"/>
        <v>нет</v>
      </c>
      <c r="BZ225" s="5" t="str">
        <f>"1979"</f>
        <v>1979</v>
      </c>
      <c r="CA225" s="5" t="str">
        <f>"48,00"</f>
        <v>48,00</v>
      </c>
      <c r="CB225" s="5" t="str">
        <f>"2021"</f>
        <v>2021</v>
      </c>
      <c r="CC225" s="5" t="str">
        <f>"1979"</f>
        <v>1979</v>
      </c>
      <c r="CD225" s="5" t="str">
        <f>"46,00"</f>
        <v>46,00</v>
      </c>
      <c r="CE225" s="5" t="str">
        <f>"2024"</f>
        <v>2024</v>
      </c>
      <c r="CF225" s="5" t="str">
        <f>"1979"</f>
        <v>1979</v>
      </c>
      <c r="CG225" s="5" t="str">
        <f>"47,00"</f>
        <v>47,00</v>
      </c>
      <c r="CH225" s="5" t="str">
        <f>"2017"</f>
        <v>2017</v>
      </c>
      <c r="CI225" s="5" t="str">
        <f>"47,00"</f>
        <v>47,00</v>
      </c>
      <c r="CJ225" s="5" t="str">
        <f>"2042"</f>
        <v>2042</v>
      </c>
    </row>
    <row r="226" spans="1:88" ht="11.25" customHeight="1">
      <c r="A226" s="3" t="str">
        <f>"1.213"</f>
        <v>1.213</v>
      </c>
      <c r="B226" s="4" t="str">
        <f>"г. Грязовец, ул. Победы, д.45"</f>
        <v>г. Грязовец, ул. Победы, д.45</v>
      </c>
      <c r="C226" s="7" t="str">
        <f>"1971"</f>
        <v>1971</v>
      </c>
      <c r="D226" s="5" t="str">
        <f>"1971"</f>
        <v>1971</v>
      </c>
      <c r="E226" s="5" t="str">
        <f>"48,00"</f>
        <v>48,00</v>
      </c>
      <c r="F226" s="5" t="str">
        <f>"2019"</f>
        <v>2019</v>
      </c>
      <c r="G226" s="5" t="str">
        <f t="shared" si="369"/>
        <v>нет</v>
      </c>
      <c r="H226" s="5" t="str">
        <f>""</f>
        <v/>
      </c>
      <c r="I226" s="5" t="str">
        <f>""</f>
        <v/>
      </c>
      <c r="J226" s="5" t="str">
        <f>""</f>
        <v/>
      </c>
      <c r="K226" s="5" t="str">
        <f t="shared" si="370"/>
        <v>нет</v>
      </c>
      <c r="L226" s="5" t="str">
        <f>""</f>
        <v/>
      </c>
      <c r="M226" s="5" t="str">
        <f>""</f>
        <v/>
      </c>
      <c r="N226" s="5" t="str">
        <f>""</f>
        <v/>
      </c>
      <c r="O226" s="8" t="str">
        <f t="shared" ref="O226:Q227" si="382">"х"</f>
        <v>х</v>
      </c>
      <c r="P226" s="5" t="str">
        <f t="shared" si="382"/>
        <v>х</v>
      </c>
      <c r="Q226" s="5" t="str">
        <f t="shared" si="382"/>
        <v>х</v>
      </c>
      <c r="R226" s="5" t="str">
        <f t="shared" si="366"/>
        <v>нет</v>
      </c>
      <c r="S226" s="5" t="str">
        <f t="shared" si="372"/>
        <v>х</v>
      </c>
      <c r="T226" s="5" t="str">
        <f t="shared" si="372"/>
        <v>х</v>
      </c>
      <c r="U226" s="5" t="str">
        <f t="shared" si="372"/>
        <v>х</v>
      </c>
      <c r="V226" s="5" t="str">
        <f>"нет"</f>
        <v>нет</v>
      </c>
      <c r="W226" s="5" t="str">
        <f t="shared" si="373"/>
        <v>х</v>
      </c>
      <c r="X226" s="5" t="str">
        <f t="shared" si="373"/>
        <v>х</v>
      </c>
      <c r="Y226" s="9" t="str">
        <f t="shared" si="373"/>
        <v>х</v>
      </c>
      <c r="Z226" s="5" t="str">
        <f>"х"</f>
        <v>х</v>
      </c>
      <c r="AA226" s="5" t="str">
        <f>"х"</f>
        <v>х</v>
      </c>
      <c r="AB226" s="5" t="str">
        <f>"х"</f>
        <v>х</v>
      </c>
      <c r="AC226" s="5" t="str">
        <f t="shared" si="374"/>
        <v>нет</v>
      </c>
      <c r="AD226" s="5" t="str">
        <f>"х"</f>
        <v>х</v>
      </c>
      <c r="AE226" s="5" t="str">
        <f>"х"</f>
        <v>х</v>
      </c>
      <c r="AF226" s="5" t="str">
        <f>"х"</f>
        <v>х</v>
      </c>
      <c r="AG226" s="5" t="str">
        <f t="shared" si="375"/>
        <v>нет</v>
      </c>
      <c r="AH226" s="5" t="str">
        <f t="shared" ref="AH226:AM226" si="383">"х"</f>
        <v>х</v>
      </c>
      <c r="AI226" s="5" t="str">
        <f t="shared" si="383"/>
        <v>х</v>
      </c>
      <c r="AJ226" s="5" t="str">
        <f t="shared" si="383"/>
        <v>х</v>
      </c>
      <c r="AK226" s="8" t="str">
        <f t="shared" si="383"/>
        <v>х</v>
      </c>
      <c r="AL226" s="5" t="str">
        <f t="shared" si="383"/>
        <v>х</v>
      </c>
      <c r="AM226" s="5" t="str">
        <f t="shared" si="383"/>
        <v>х</v>
      </c>
      <c r="AN226" s="5" t="str">
        <f>"нет"</f>
        <v>нет</v>
      </c>
      <c r="AO226" s="5" t="str">
        <f t="shared" si="376"/>
        <v>х</v>
      </c>
      <c r="AP226" s="5" t="str">
        <f t="shared" si="376"/>
        <v>х</v>
      </c>
      <c r="AQ226" s="5" t="str">
        <f t="shared" si="376"/>
        <v>х</v>
      </c>
      <c r="AR226" s="5" t="str">
        <f>"нет"</f>
        <v>нет</v>
      </c>
      <c r="AS226" s="5" t="str">
        <f t="shared" si="377"/>
        <v>х</v>
      </c>
      <c r="AT226" s="5" t="str">
        <f t="shared" si="377"/>
        <v>х</v>
      </c>
      <c r="AU226" s="5" t="str">
        <f t="shared" si="377"/>
        <v>х</v>
      </c>
      <c r="AV226" s="5" t="str">
        <f t="shared" ref="AV226:AX227" si="384">"х"</f>
        <v>х</v>
      </c>
      <c r="AW226" s="5" t="str">
        <f t="shared" si="384"/>
        <v>х</v>
      </c>
      <c r="AX226" s="5" t="str">
        <f t="shared" si="384"/>
        <v>х</v>
      </c>
      <c r="AY226" s="5" t="str">
        <f>"нет"</f>
        <v>нет</v>
      </c>
      <c r="AZ226" s="5" t="str">
        <f t="shared" si="378"/>
        <v>х</v>
      </c>
      <c r="BA226" s="5" t="str">
        <f t="shared" si="378"/>
        <v>х</v>
      </c>
      <c r="BB226" s="5" t="str">
        <f t="shared" si="378"/>
        <v>х</v>
      </c>
      <c r="BC226" s="5" t="str">
        <f>"нет"</f>
        <v>нет</v>
      </c>
      <c r="BD226" s="5" t="str">
        <f t="shared" si="379"/>
        <v>х</v>
      </c>
      <c r="BE226" s="5" t="str">
        <f t="shared" si="379"/>
        <v>х</v>
      </c>
      <c r="BF226" s="5" t="str">
        <f t="shared" si="379"/>
        <v>х</v>
      </c>
      <c r="BG226" s="5" t="str">
        <f t="shared" ref="BG226:BI227" si="385">"х"</f>
        <v>х</v>
      </c>
      <c r="BH226" s="5" t="str">
        <f t="shared" si="385"/>
        <v>х</v>
      </c>
      <c r="BI226" s="5" t="str">
        <f t="shared" si="385"/>
        <v>х</v>
      </c>
      <c r="BJ226" s="5" t="str">
        <f t="shared" si="362"/>
        <v>нет</v>
      </c>
      <c r="BK226" s="5" t="str">
        <f t="shared" si="380"/>
        <v>х</v>
      </c>
      <c r="BL226" s="5" t="str">
        <f t="shared" si="380"/>
        <v>х</v>
      </c>
      <c r="BM226" s="5" t="str">
        <f t="shared" si="380"/>
        <v>х</v>
      </c>
      <c r="BN226" s="5" t="str">
        <f t="shared" si="368"/>
        <v>нет</v>
      </c>
      <c r="BO226" s="5" t="str">
        <f t="shared" si="381"/>
        <v>х</v>
      </c>
      <c r="BP226" s="5" t="str">
        <f t="shared" si="381"/>
        <v>х</v>
      </c>
      <c r="BQ226" s="5" t="str">
        <f t="shared" si="381"/>
        <v>х</v>
      </c>
      <c r="BR226" s="5" t="str">
        <f>"1971"</f>
        <v>1971</v>
      </c>
      <c r="BS226" s="5" t="str">
        <f>"69,00"</f>
        <v>69,00</v>
      </c>
      <c r="BT226" s="5" t="str">
        <f>"2021"</f>
        <v>2021</v>
      </c>
      <c r="BU226" s="5" t="str">
        <f t="shared" si="339"/>
        <v>нет</v>
      </c>
      <c r="BV226" s="5" t="str">
        <f t="shared" si="367"/>
        <v>x</v>
      </c>
      <c r="BW226" s="5" t="str">
        <f t="shared" si="367"/>
        <v>x</v>
      </c>
      <c r="BX226" s="5" t="str">
        <f t="shared" si="367"/>
        <v>x</v>
      </c>
      <c r="BY226" s="5" t="str">
        <f t="shared" si="338"/>
        <v>нет</v>
      </c>
      <c r="BZ226" s="5" t="str">
        <f>"1971"</f>
        <v>1971</v>
      </c>
      <c r="CA226" s="5" t="str">
        <f>"67,00"</f>
        <v>67,00</v>
      </c>
      <c r="CB226" s="5" t="str">
        <f>"2019"</f>
        <v>2019</v>
      </c>
      <c r="CC226" s="5" t="str">
        <f>"1971"</f>
        <v>1971</v>
      </c>
      <c r="CD226" s="5" t="str">
        <f>"68,00"</f>
        <v>68,00</v>
      </c>
      <c r="CE226" s="5" t="str">
        <f>"2023"</f>
        <v>2023</v>
      </c>
      <c r="CF226" s="5" t="str">
        <f>"1971"</f>
        <v>1971</v>
      </c>
      <c r="CG226" s="5" t="str">
        <f>"68,00"</f>
        <v>68,00</v>
      </c>
      <c r="CH226" s="5" t="str">
        <f>"2021"</f>
        <v>2021</v>
      </c>
      <c r="CI226" s="5" t="str">
        <f>"68,00"</f>
        <v>68,00</v>
      </c>
      <c r="CJ226" s="5" t="str">
        <f>"2040"</f>
        <v>2040</v>
      </c>
    </row>
    <row r="227" spans="1:88" ht="11.25" customHeight="1">
      <c r="A227" s="3" t="str">
        <f>"1.214"</f>
        <v>1.214</v>
      </c>
      <c r="B227" s="4" t="str">
        <f>"г. Грязовец, ул. Победы, д.45А"</f>
        <v>г. Грязовец, ул. Победы, д.45А</v>
      </c>
      <c r="C227" s="7" t="str">
        <f>"1914"</f>
        <v>1914</v>
      </c>
      <c r="D227" s="5" t="str">
        <f>""</f>
        <v/>
      </c>
      <c r="E227" s="5" t="str">
        <f>"35,00"</f>
        <v>35,00</v>
      </c>
      <c r="F227" s="5" t="str">
        <f>"2032"</f>
        <v>2032</v>
      </c>
      <c r="G227" s="5" t="str">
        <f t="shared" si="369"/>
        <v>нет</v>
      </c>
      <c r="H227" s="5" t="str">
        <f>""</f>
        <v/>
      </c>
      <c r="I227" s="5" t="str">
        <f>""</f>
        <v/>
      </c>
      <c r="J227" s="5" t="str">
        <f>""</f>
        <v/>
      </c>
      <c r="K227" s="5" t="str">
        <f t="shared" si="370"/>
        <v>нет</v>
      </c>
      <c r="L227" s="5" t="str">
        <f>""</f>
        <v/>
      </c>
      <c r="M227" s="5" t="str">
        <f>""</f>
        <v/>
      </c>
      <c r="N227" s="5" t="str">
        <f>""</f>
        <v/>
      </c>
      <c r="O227" s="8" t="str">
        <f t="shared" si="382"/>
        <v>х</v>
      </c>
      <c r="P227" s="5" t="str">
        <f t="shared" si="382"/>
        <v>х</v>
      </c>
      <c r="Q227" s="5" t="str">
        <f t="shared" si="382"/>
        <v>х</v>
      </c>
      <c r="R227" s="5" t="str">
        <f>"х"</f>
        <v>х</v>
      </c>
      <c r="S227" s="5" t="str">
        <f t="shared" si="372"/>
        <v>х</v>
      </c>
      <c r="T227" s="5" t="str">
        <f t="shared" si="372"/>
        <v>х</v>
      </c>
      <c r="U227" s="5" t="str">
        <f t="shared" si="372"/>
        <v>х</v>
      </c>
      <c r="V227" s="5" t="str">
        <f>"х"</f>
        <v>х</v>
      </c>
      <c r="W227" s="5" t="str">
        <f t="shared" si="373"/>
        <v>х</v>
      </c>
      <c r="X227" s="5" t="str">
        <f t="shared" si="373"/>
        <v>х</v>
      </c>
      <c r="Y227" s="9" t="str">
        <f t="shared" si="373"/>
        <v>х</v>
      </c>
      <c r="Z227" s="5" t="str">
        <f>""</f>
        <v/>
      </c>
      <c r="AA227" s="5" t="str">
        <f>"20,00"</f>
        <v>20,00</v>
      </c>
      <c r="AB227" s="5" t="str">
        <f>"2033"</f>
        <v>2033</v>
      </c>
      <c r="AC227" s="5" t="str">
        <f t="shared" si="374"/>
        <v>нет</v>
      </c>
      <c r="AD227" s="5" t="str">
        <f>""</f>
        <v/>
      </c>
      <c r="AE227" s="5" t="str">
        <f>""</f>
        <v/>
      </c>
      <c r="AF227" s="5" t="str">
        <f>""</f>
        <v/>
      </c>
      <c r="AG227" s="5" t="str">
        <f t="shared" si="375"/>
        <v>нет</v>
      </c>
      <c r="AH227" s="5" t="str">
        <f>""</f>
        <v/>
      </c>
      <c r="AI227" s="5" t="str">
        <f>""</f>
        <v/>
      </c>
      <c r="AJ227" s="5" t="str">
        <f>""</f>
        <v/>
      </c>
      <c r="AK227" s="8" t="str">
        <f>"х"</f>
        <v>х</v>
      </c>
      <c r="AL227" s="5" t="str">
        <f>"х"</f>
        <v>х</v>
      </c>
      <c r="AM227" s="5" t="str">
        <f>"х"</f>
        <v>х</v>
      </c>
      <c r="AN227" s="5" t="str">
        <f>"х"</f>
        <v>х</v>
      </c>
      <c r="AO227" s="5" t="str">
        <f t="shared" si="376"/>
        <v>х</v>
      </c>
      <c r="AP227" s="5" t="str">
        <f t="shared" si="376"/>
        <v>х</v>
      </c>
      <c r="AQ227" s="5" t="str">
        <f t="shared" si="376"/>
        <v>х</v>
      </c>
      <c r="AR227" s="5" t="str">
        <f>"х"</f>
        <v>х</v>
      </c>
      <c r="AS227" s="5" t="str">
        <f t="shared" si="377"/>
        <v>х</v>
      </c>
      <c r="AT227" s="5" t="str">
        <f t="shared" si="377"/>
        <v>х</v>
      </c>
      <c r="AU227" s="5" t="str">
        <f t="shared" si="377"/>
        <v>х</v>
      </c>
      <c r="AV227" s="5" t="str">
        <f t="shared" si="384"/>
        <v>х</v>
      </c>
      <c r="AW227" s="5" t="str">
        <f t="shared" si="384"/>
        <v>х</v>
      </c>
      <c r="AX227" s="5" t="str">
        <f t="shared" si="384"/>
        <v>х</v>
      </c>
      <c r="AY227" s="5" t="str">
        <f>"х"</f>
        <v>х</v>
      </c>
      <c r="AZ227" s="5" t="str">
        <f t="shared" si="378"/>
        <v>х</v>
      </c>
      <c r="BA227" s="5" t="str">
        <f t="shared" si="378"/>
        <v>х</v>
      </c>
      <c r="BB227" s="5" t="str">
        <f t="shared" si="378"/>
        <v>х</v>
      </c>
      <c r="BC227" s="5" t="str">
        <f>"х"</f>
        <v>х</v>
      </c>
      <c r="BD227" s="5" t="str">
        <f t="shared" si="379"/>
        <v>х</v>
      </c>
      <c r="BE227" s="5" t="str">
        <f t="shared" si="379"/>
        <v>х</v>
      </c>
      <c r="BF227" s="5" t="str">
        <f t="shared" si="379"/>
        <v>х</v>
      </c>
      <c r="BG227" s="5" t="str">
        <f t="shared" si="385"/>
        <v>х</v>
      </c>
      <c r="BH227" s="5" t="str">
        <f t="shared" si="385"/>
        <v>х</v>
      </c>
      <c r="BI227" s="5" t="str">
        <f t="shared" si="385"/>
        <v>х</v>
      </c>
      <c r="BJ227" s="5" t="str">
        <f>"х"</f>
        <v>х</v>
      </c>
      <c r="BK227" s="5" t="str">
        <f t="shared" si="380"/>
        <v>х</v>
      </c>
      <c r="BL227" s="5" t="str">
        <f t="shared" si="380"/>
        <v>х</v>
      </c>
      <c r="BM227" s="5" t="str">
        <f t="shared" si="380"/>
        <v>х</v>
      </c>
      <c r="BN227" s="5" t="str">
        <f>"х"</f>
        <v>х</v>
      </c>
      <c r="BO227" s="5" t="str">
        <f t="shared" si="381"/>
        <v>х</v>
      </c>
      <c r="BP227" s="5" t="str">
        <f t="shared" si="381"/>
        <v>х</v>
      </c>
      <c r="BQ227" s="5" t="str">
        <f t="shared" si="381"/>
        <v>х</v>
      </c>
      <c r="BR227" s="5" t="str">
        <f>""</f>
        <v/>
      </c>
      <c r="BS227" s="5" t="str">
        <f>"20,00"</f>
        <v>20,00</v>
      </c>
      <c r="BT227" s="5" t="str">
        <f>"2033"</f>
        <v>2033</v>
      </c>
      <c r="BU227" s="5" t="str">
        <f t="shared" si="339"/>
        <v>нет</v>
      </c>
      <c r="BV227" s="5" t="str">
        <f t="shared" si="367"/>
        <v>x</v>
      </c>
      <c r="BW227" s="5" t="str">
        <f t="shared" si="367"/>
        <v>x</v>
      </c>
      <c r="BX227" s="5" t="str">
        <f t="shared" si="367"/>
        <v>x</v>
      </c>
      <c r="BY227" s="5" t="str">
        <f t="shared" si="338"/>
        <v>нет</v>
      </c>
      <c r="BZ227" s="5" t="str">
        <f>"x"</f>
        <v>x</v>
      </c>
      <c r="CA227" s="5" t="str">
        <f>"x"</f>
        <v>x</v>
      </c>
      <c r="CB227" s="5" t="str">
        <f>"x"</f>
        <v>x</v>
      </c>
      <c r="CC227" s="5" t="str">
        <f>""</f>
        <v/>
      </c>
      <c r="CD227" s="5" t="str">
        <f>"25,00"</f>
        <v>25,00</v>
      </c>
      <c r="CE227" s="5" t="str">
        <f>"2035"</f>
        <v>2035</v>
      </c>
      <c r="CF227" s="5" t="str">
        <f>""</f>
        <v/>
      </c>
      <c r="CG227" s="5" t="str">
        <f>"25,00"</f>
        <v>25,00</v>
      </c>
      <c r="CH227" s="5" t="str">
        <f>"2034"</f>
        <v>2034</v>
      </c>
      <c r="CI227" s="5" t="str">
        <f>"37,00"</f>
        <v>37,00</v>
      </c>
      <c r="CJ227" s="5" t="str">
        <f>"2035"</f>
        <v>2035</v>
      </c>
    </row>
    <row r="228" spans="1:88" ht="11.25" customHeight="1">
      <c r="A228" s="3" t="str">
        <f>"1.215"</f>
        <v>1.215</v>
      </c>
      <c r="B228" s="4" t="str">
        <f>"г. Грязовец, ул. Победы, д.49"</f>
        <v>г. Грязовец, ул. Победы, д.49</v>
      </c>
      <c r="C228" s="7" t="str">
        <f>"1966"</f>
        <v>1966</v>
      </c>
      <c r="D228" s="5" t="str">
        <f>"1966"</f>
        <v>1966</v>
      </c>
      <c r="E228" s="5" t="str">
        <f>"38,00"</f>
        <v>38,00</v>
      </c>
      <c r="F228" s="5" t="str">
        <f>"2021"</f>
        <v>2021</v>
      </c>
      <c r="G228" s="5" t="str">
        <f t="shared" si="369"/>
        <v>нет</v>
      </c>
      <c r="H228" s="5" t="str">
        <f>""</f>
        <v/>
      </c>
      <c r="I228" s="5" t="str">
        <f>""</f>
        <v/>
      </c>
      <c r="J228" s="5" t="str">
        <f>""</f>
        <v/>
      </c>
      <c r="K228" s="5" t="str">
        <f t="shared" si="370"/>
        <v>нет</v>
      </c>
      <c r="L228" s="5" t="str">
        <f>""</f>
        <v/>
      </c>
      <c r="M228" s="5" t="str">
        <f>""</f>
        <v/>
      </c>
      <c r="N228" s="5" t="str">
        <f>""</f>
        <v/>
      </c>
      <c r="O228" s="8" t="str">
        <f>"1966"</f>
        <v>1966</v>
      </c>
      <c r="P228" s="5" t="str">
        <f>"37,00"</f>
        <v>37,00</v>
      </c>
      <c r="Q228" s="5" t="str">
        <f>"2022"</f>
        <v>2022</v>
      </c>
      <c r="R228" s="5" t="str">
        <f t="shared" ref="R228:R259" si="386">"нет"</f>
        <v>нет</v>
      </c>
      <c r="S228" s="5" t="str">
        <f t="shared" si="372"/>
        <v>х</v>
      </c>
      <c r="T228" s="5" t="str">
        <f t="shared" si="372"/>
        <v>х</v>
      </c>
      <c r="U228" s="5" t="str">
        <f t="shared" si="372"/>
        <v>х</v>
      </c>
      <c r="V228" s="5" t="str">
        <f t="shared" ref="V228:V257" si="387">"нет"</f>
        <v>нет</v>
      </c>
      <c r="W228" s="5" t="str">
        <f t="shared" si="373"/>
        <v>х</v>
      </c>
      <c r="X228" s="5" t="str">
        <f t="shared" si="373"/>
        <v>х</v>
      </c>
      <c r="Y228" s="9" t="str">
        <f t="shared" si="373"/>
        <v>х</v>
      </c>
      <c r="Z228" s="5" t="str">
        <f>"1966"</f>
        <v>1966</v>
      </c>
      <c r="AA228" s="5" t="str">
        <f>"35,00"</f>
        <v>35,00</v>
      </c>
      <c r="AB228" s="5" t="str">
        <f>"2022"</f>
        <v>2022</v>
      </c>
      <c r="AC228" s="5" t="str">
        <f t="shared" si="374"/>
        <v>нет</v>
      </c>
      <c r="AD228" s="5" t="str">
        <f>"х"</f>
        <v>х</v>
      </c>
      <c r="AE228" s="5" t="str">
        <f>"х"</f>
        <v>х</v>
      </c>
      <c r="AF228" s="5" t="str">
        <f>"х"</f>
        <v>х</v>
      </c>
      <c r="AG228" s="5" t="str">
        <f t="shared" si="375"/>
        <v>нет</v>
      </c>
      <c r="AH228" s="5" t="str">
        <f>"х"</f>
        <v>х</v>
      </c>
      <c r="AI228" s="5" t="str">
        <f>"х"</f>
        <v>х</v>
      </c>
      <c r="AJ228" s="5" t="str">
        <f>"х"</f>
        <v>х</v>
      </c>
      <c r="AK228" s="8" t="str">
        <f>"1966"</f>
        <v>1966</v>
      </c>
      <c r="AL228" s="5" t="str">
        <f>"35,00"</f>
        <v>35,00</v>
      </c>
      <c r="AM228" s="5" t="str">
        <f>"2022"</f>
        <v>2022</v>
      </c>
      <c r="AN228" s="5" t="str">
        <f t="shared" ref="AN228:AN245" si="388">"нет"</f>
        <v>нет</v>
      </c>
      <c r="AO228" s="5" t="str">
        <f t="shared" si="376"/>
        <v>х</v>
      </c>
      <c r="AP228" s="5" t="str">
        <f t="shared" si="376"/>
        <v>х</v>
      </c>
      <c r="AQ228" s="5" t="str">
        <f t="shared" si="376"/>
        <v>х</v>
      </c>
      <c r="AR228" s="5" t="str">
        <f t="shared" ref="AR228:AR242" si="389">"нет"</f>
        <v>нет</v>
      </c>
      <c r="AS228" s="5" t="str">
        <f t="shared" si="377"/>
        <v>х</v>
      </c>
      <c r="AT228" s="5" t="str">
        <f t="shared" si="377"/>
        <v>х</v>
      </c>
      <c r="AU228" s="5" t="str">
        <f t="shared" si="377"/>
        <v>х</v>
      </c>
      <c r="AV228" s="5" t="str">
        <f>"1966"</f>
        <v>1966</v>
      </c>
      <c r="AW228" s="5" t="str">
        <f>"37,00"</f>
        <v>37,00</v>
      </c>
      <c r="AX228" s="5" t="str">
        <f>"2022"</f>
        <v>2022</v>
      </c>
      <c r="AY228" s="5" t="str">
        <f t="shared" ref="AY228:AY245" si="390">"нет"</f>
        <v>нет</v>
      </c>
      <c r="AZ228" s="5" t="str">
        <f t="shared" si="378"/>
        <v>х</v>
      </c>
      <c r="BA228" s="5" t="str">
        <f t="shared" si="378"/>
        <v>х</v>
      </c>
      <c r="BB228" s="5" t="str">
        <f t="shared" si="378"/>
        <v>х</v>
      </c>
      <c r="BC228" s="5" t="str">
        <f t="shared" ref="BC228:BC242" si="391">"нет"</f>
        <v>нет</v>
      </c>
      <c r="BD228" s="5" t="str">
        <f t="shared" si="379"/>
        <v>х</v>
      </c>
      <c r="BE228" s="5" t="str">
        <f t="shared" si="379"/>
        <v>х</v>
      </c>
      <c r="BF228" s="5" t="str">
        <f t="shared" si="379"/>
        <v>х</v>
      </c>
      <c r="BG228" s="5" t="str">
        <f>"1966"</f>
        <v>1966</v>
      </c>
      <c r="BH228" s="5" t="str">
        <f>"41,00"</f>
        <v>41,00</v>
      </c>
      <c r="BI228" s="5" t="str">
        <f>"2022"</f>
        <v>2022</v>
      </c>
      <c r="BJ228" s="5" t="str">
        <f t="shared" ref="BJ228:BJ245" si="392">"нет"</f>
        <v>нет</v>
      </c>
      <c r="BK228" s="5" t="str">
        <f t="shared" si="380"/>
        <v>х</v>
      </c>
      <c r="BL228" s="5" t="str">
        <f t="shared" si="380"/>
        <v>х</v>
      </c>
      <c r="BM228" s="5" t="str">
        <f t="shared" si="380"/>
        <v>х</v>
      </c>
      <c r="BN228" s="5" t="str">
        <f t="shared" ref="BN228:BN242" si="393">"нет"</f>
        <v>нет</v>
      </c>
      <c r="BO228" s="5" t="str">
        <f t="shared" si="381"/>
        <v>х</v>
      </c>
      <c r="BP228" s="5" t="str">
        <f t="shared" si="381"/>
        <v>х</v>
      </c>
      <c r="BQ228" s="5" t="str">
        <f t="shared" si="381"/>
        <v>х</v>
      </c>
      <c r="BR228" s="5" t="str">
        <f>"1966"</f>
        <v>1966</v>
      </c>
      <c r="BS228" s="5" t="str">
        <f>"42,00"</f>
        <v>42,00</v>
      </c>
      <c r="BT228" s="5" t="str">
        <f>"2020"</f>
        <v>2020</v>
      </c>
      <c r="BU228" s="5" t="str">
        <f t="shared" si="339"/>
        <v>нет</v>
      </c>
      <c r="BV228" s="5" t="str">
        <f t="shared" si="367"/>
        <v>x</v>
      </c>
      <c r="BW228" s="5" t="str">
        <f t="shared" si="367"/>
        <v>x</v>
      </c>
      <c r="BX228" s="5" t="str">
        <f t="shared" si="367"/>
        <v>x</v>
      </c>
      <c r="BY228" s="5" t="str">
        <f t="shared" si="338"/>
        <v>нет</v>
      </c>
      <c r="BZ228" s="5" t="str">
        <f>"1966"</f>
        <v>1966</v>
      </c>
      <c r="CA228" s="5" t="str">
        <f>"44,00"</f>
        <v>44,00</v>
      </c>
      <c r="CB228" s="5" t="str">
        <f>"2022"</f>
        <v>2022</v>
      </c>
      <c r="CC228" s="5" t="str">
        <f>"1966"</f>
        <v>1966</v>
      </c>
      <c r="CD228" s="5" t="str">
        <f>"46,00"</f>
        <v>46,00</v>
      </c>
      <c r="CE228" s="5" t="str">
        <f>"2021"</f>
        <v>2021</v>
      </c>
      <c r="CF228" s="5" t="str">
        <f>"1966"</f>
        <v>1966</v>
      </c>
      <c r="CG228" s="5" t="str">
        <f>"46,00"</f>
        <v>46,00</v>
      </c>
      <c r="CH228" s="5" t="str">
        <f>"2021"</f>
        <v>2021</v>
      </c>
      <c r="CI228" s="5" t="str">
        <f>"46,00"</f>
        <v>46,00</v>
      </c>
      <c r="CJ228" s="5" t="str">
        <f>"2022"</f>
        <v>2022</v>
      </c>
    </row>
    <row r="229" spans="1:88" ht="11.25" customHeight="1">
      <c r="A229" s="3" t="str">
        <f>"1.216"</f>
        <v>1.216</v>
      </c>
      <c r="B229" s="4" t="str">
        <f>"г. Грязовец, ул. Победы, д.64"</f>
        <v>г. Грязовец, ул. Победы, д.64</v>
      </c>
      <c r="C229" s="7" t="str">
        <f>"1982"</f>
        <v>1982</v>
      </c>
      <c r="D229" s="5" t="str">
        <f>"1982"</f>
        <v>1982</v>
      </c>
      <c r="E229" s="5" t="str">
        <f>"1,50"</f>
        <v>1,50</v>
      </c>
      <c r="F229" s="5" t="str">
        <f>"2040"</f>
        <v>2040</v>
      </c>
      <c r="G229" s="5" t="str">
        <f t="shared" si="369"/>
        <v>нет</v>
      </c>
      <c r="H229" s="5" t="str">
        <f>""</f>
        <v/>
      </c>
      <c r="I229" s="5" t="str">
        <f>""</f>
        <v/>
      </c>
      <c r="J229" s="5" t="str">
        <f>""</f>
        <v/>
      </c>
      <c r="K229" s="5" t="str">
        <f t="shared" si="370"/>
        <v>нет</v>
      </c>
      <c r="L229" s="5" t="str">
        <f>""</f>
        <v/>
      </c>
      <c r="M229" s="5" t="str">
        <f>""</f>
        <v/>
      </c>
      <c r="N229" s="5" t="str">
        <f>""</f>
        <v/>
      </c>
      <c r="O229" s="8" t="str">
        <f>"1982"</f>
        <v>1982</v>
      </c>
      <c r="P229" s="5" t="str">
        <f>"1,50"</f>
        <v>1,50</v>
      </c>
      <c r="Q229" s="5" t="str">
        <f>"2040"</f>
        <v>2040</v>
      </c>
      <c r="R229" s="5" t="str">
        <f t="shared" si="386"/>
        <v>нет</v>
      </c>
      <c r="S229" s="5" t="str">
        <f t="shared" si="372"/>
        <v>х</v>
      </c>
      <c r="T229" s="5" t="str">
        <f t="shared" si="372"/>
        <v>х</v>
      </c>
      <c r="U229" s="5" t="str">
        <f t="shared" si="372"/>
        <v>х</v>
      </c>
      <c r="V229" s="5" t="str">
        <f t="shared" si="387"/>
        <v>нет</v>
      </c>
      <c r="W229" s="5" t="str">
        <f t="shared" si="373"/>
        <v>х</v>
      </c>
      <c r="X229" s="5" t="str">
        <f t="shared" si="373"/>
        <v>х</v>
      </c>
      <c r="Y229" s="9" t="str">
        <f t="shared" si="373"/>
        <v>х</v>
      </c>
      <c r="Z229" s="5" t="str">
        <f>"1982"</f>
        <v>1982</v>
      </c>
      <c r="AA229" s="5" t="str">
        <f>"2,00"</f>
        <v>2,00</v>
      </c>
      <c r="AB229" s="5" t="str">
        <f>"2040"</f>
        <v>2040</v>
      </c>
      <c r="AC229" s="5" t="str">
        <f t="shared" si="374"/>
        <v>нет</v>
      </c>
      <c r="AD229" s="5" t="str">
        <f>""</f>
        <v/>
      </c>
      <c r="AE229" s="5" t="str">
        <f>""</f>
        <v/>
      </c>
      <c r="AF229" s="5" t="str">
        <f>""</f>
        <v/>
      </c>
      <c r="AG229" s="5" t="str">
        <f t="shared" si="375"/>
        <v>нет</v>
      </c>
      <c r="AH229" s="5" t="str">
        <f>""</f>
        <v/>
      </c>
      <c r="AI229" s="5" t="str">
        <f>""</f>
        <v/>
      </c>
      <c r="AJ229" s="5" t="str">
        <f>""</f>
        <v/>
      </c>
      <c r="AK229" s="8" t="str">
        <f>"1982"</f>
        <v>1982</v>
      </c>
      <c r="AL229" s="5" t="str">
        <f>"2,50"</f>
        <v>2,50</v>
      </c>
      <c r="AM229" s="5" t="str">
        <f>"2040"</f>
        <v>2040</v>
      </c>
      <c r="AN229" s="5" t="str">
        <f t="shared" si="388"/>
        <v>нет</v>
      </c>
      <c r="AO229" s="5" t="str">
        <f t="shared" si="376"/>
        <v>х</v>
      </c>
      <c r="AP229" s="5" t="str">
        <f t="shared" si="376"/>
        <v>х</v>
      </c>
      <c r="AQ229" s="5" t="str">
        <f t="shared" si="376"/>
        <v>х</v>
      </c>
      <c r="AR229" s="5" t="str">
        <f t="shared" si="389"/>
        <v>нет</v>
      </c>
      <c r="AS229" s="5" t="str">
        <f t="shared" si="377"/>
        <v>х</v>
      </c>
      <c r="AT229" s="5" t="str">
        <f t="shared" si="377"/>
        <v>х</v>
      </c>
      <c r="AU229" s="5" t="str">
        <f t="shared" si="377"/>
        <v>х</v>
      </c>
      <c r="AV229" s="5" t="str">
        <f>"1982"</f>
        <v>1982</v>
      </c>
      <c r="AW229" s="5" t="str">
        <f>"2,50"</f>
        <v>2,50</v>
      </c>
      <c r="AX229" s="5" t="str">
        <f>"2040"</f>
        <v>2040</v>
      </c>
      <c r="AY229" s="5" t="str">
        <f t="shared" si="390"/>
        <v>нет</v>
      </c>
      <c r="AZ229" s="5" t="str">
        <f t="shared" si="378"/>
        <v>х</v>
      </c>
      <c r="BA229" s="5" t="str">
        <f t="shared" si="378"/>
        <v>х</v>
      </c>
      <c r="BB229" s="5" t="str">
        <f t="shared" si="378"/>
        <v>х</v>
      </c>
      <c r="BC229" s="5" t="str">
        <f t="shared" si="391"/>
        <v>нет</v>
      </c>
      <c r="BD229" s="5" t="str">
        <f t="shared" si="379"/>
        <v>х</v>
      </c>
      <c r="BE229" s="5" t="str">
        <f t="shared" si="379"/>
        <v>х</v>
      </c>
      <c r="BF229" s="5" t="str">
        <f t="shared" si="379"/>
        <v>х</v>
      </c>
      <c r="BG229" s="5" t="str">
        <f>"1982"</f>
        <v>1982</v>
      </c>
      <c r="BH229" s="5" t="str">
        <f>"2,50"</f>
        <v>2,50</v>
      </c>
      <c r="BI229" s="5" t="str">
        <f>"2040"</f>
        <v>2040</v>
      </c>
      <c r="BJ229" s="5" t="str">
        <f t="shared" si="392"/>
        <v>нет</v>
      </c>
      <c r="BK229" s="5" t="str">
        <f t="shared" si="380"/>
        <v>х</v>
      </c>
      <c r="BL229" s="5" t="str">
        <f t="shared" si="380"/>
        <v>х</v>
      </c>
      <c r="BM229" s="5" t="str">
        <f t="shared" si="380"/>
        <v>х</v>
      </c>
      <c r="BN229" s="5" t="str">
        <f t="shared" si="393"/>
        <v>нет</v>
      </c>
      <c r="BO229" s="5" t="str">
        <f t="shared" si="381"/>
        <v>х</v>
      </c>
      <c r="BP229" s="5" t="str">
        <f t="shared" si="381"/>
        <v>х</v>
      </c>
      <c r="BQ229" s="5" t="str">
        <f t="shared" si="381"/>
        <v>х</v>
      </c>
      <c r="BR229" s="5" t="str">
        <f>"1982"</f>
        <v>1982</v>
      </c>
      <c r="BS229" s="5" t="str">
        <f>"2,50"</f>
        <v>2,50</v>
      </c>
      <c r="BT229" s="5" t="str">
        <f>"2040"</f>
        <v>2040</v>
      </c>
      <c r="BU229" s="5" t="str">
        <f t="shared" si="339"/>
        <v>нет</v>
      </c>
      <c r="BV229" s="5" t="str">
        <f t="shared" si="367"/>
        <v>x</v>
      </c>
      <c r="BW229" s="5" t="str">
        <f t="shared" si="367"/>
        <v>x</v>
      </c>
      <c r="BX229" s="5" t="str">
        <f t="shared" si="367"/>
        <v>x</v>
      </c>
      <c r="BY229" s="5" t="str">
        <f t="shared" si="338"/>
        <v>нет</v>
      </c>
      <c r="BZ229" s="5" t="str">
        <f>"1982"</f>
        <v>1982</v>
      </c>
      <c r="CA229" s="5" t="str">
        <f>"2,50"</f>
        <v>2,50</v>
      </c>
      <c r="CB229" s="5" t="str">
        <f>"2040"</f>
        <v>2040</v>
      </c>
      <c r="CC229" s="5" t="str">
        <f>"1982"</f>
        <v>1982</v>
      </c>
      <c r="CD229" s="5" t="str">
        <f>"3,00"</f>
        <v>3,00</v>
      </c>
      <c r="CE229" s="5" t="str">
        <f>"2040"</f>
        <v>2040</v>
      </c>
      <c r="CF229" s="5" t="str">
        <f>"1982"</f>
        <v>1982</v>
      </c>
      <c r="CG229" s="5" t="str">
        <f>"3,00"</f>
        <v>3,00</v>
      </c>
      <c r="CH229" s="5" t="str">
        <f>"2040"</f>
        <v>2040</v>
      </c>
      <c r="CI229" s="5" t="str">
        <f>"3,00"</f>
        <v>3,00</v>
      </c>
      <c r="CJ229" s="5" t="str">
        <f>"2040"</f>
        <v>2040</v>
      </c>
    </row>
    <row r="230" spans="1:88" ht="11.25" customHeight="1">
      <c r="A230" s="3" t="str">
        <f>"1.217"</f>
        <v>1.217</v>
      </c>
      <c r="B230" s="4" t="str">
        <f>"г. Грязовец, ул. Победы, д.66"</f>
        <v>г. Грязовец, ул. Победы, д.66</v>
      </c>
      <c r="C230" s="7" t="str">
        <f>"1974"</f>
        <v>1974</v>
      </c>
      <c r="D230" s="5" t="str">
        <f>"1974"</f>
        <v>1974</v>
      </c>
      <c r="E230" s="5" t="str">
        <f>"18,00"</f>
        <v>18,00</v>
      </c>
      <c r="F230" s="5" t="str">
        <f>"2032"</f>
        <v>2032</v>
      </c>
      <c r="G230" s="5" t="str">
        <f t="shared" si="369"/>
        <v>нет</v>
      </c>
      <c r="H230" s="5" t="str">
        <f>""</f>
        <v/>
      </c>
      <c r="I230" s="5" t="str">
        <f>""</f>
        <v/>
      </c>
      <c r="J230" s="5" t="str">
        <f>""</f>
        <v/>
      </c>
      <c r="K230" s="5" t="str">
        <f t="shared" si="370"/>
        <v>нет</v>
      </c>
      <c r="L230" s="5" t="str">
        <f>""</f>
        <v/>
      </c>
      <c r="M230" s="5" t="str">
        <f>""</f>
        <v/>
      </c>
      <c r="N230" s="5" t="str">
        <f>""</f>
        <v/>
      </c>
      <c r="O230" s="8" t="str">
        <f>"1974"</f>
        <v>1974</v>
      </c>
      <c r="P230" s="5" t="str">
        <f>"19,00"</f>
        <v>19,00</v>
      </c>
      <c r="Q230" s="5" t="str">
        <f>"2032"</f>
        <v>2032</v>
      </c>
      <c r="R230" s="5" t="str">
        <f t="shared" si="386"/>
        <v>нет</v>
      </c>
      <c r="S230" s="5" t="str">
        <f t="shared" si="372"/>
        <v>х</v>
      </c>
      <c r="T230" s="5" t="str">
        <f t="shared" si="372"/>
        <v>х</v>
      </c>
      <c r="U230" s="5" t="str">
        <f t="shared" si="372"/>
        <v>х</v>
      </c>
      <c r="V230" s="5" t="str">
        <f t="shared" si="387"/>
        <v>нет</v>
      </c>
      <c r="W230" s="5" t="str">
        <f t="shared" si="373"/>
        <v>х</v>
      </c>
      <c r="X230" s="5" t="str">
        <f t="shared" si="373"/>
        <v>х</v>
      </c>
      <c r="Y230" s="9" t="str">
        <f t="shared" si="373"/>
        <v>х</v>
      </c>
      <c r="Z230" s="5" t="str">
        <f>"1974"</f>
        <v>1974</v>
      </c>
      <c r="AA230" s="5" t="str">
        <f>"19,00"</f>
        <v>19,00</v>
      </c>
      <c r="AB230" s="5" t="str">
        <f>"2032"</f>
        <v>2032</v>
      </c>
      <c r="AC230" s="5" t="str">
        <f t="shared" si="374"/>
        <v>нет</v>
      </c>
      <c r="AD230" s="5" t="str">
        <f>""</f>
        <v/>
      </c>
      <c r="AE230" s="5" t="str">
        <f>""</f>
        <v/>
      </c>
      <c r="AF230" s="5" t="str">
        <f>""</f>
        <v/>
      </c>
      <c r="AG230" s="5" t="str">
        <f t="shared" si="375"/>
        <v>нет</v>
      </c>
      <c r="AH230" s="5" t="str">
        <f>""</f>
        <v/>
      </c>
      <c r="AI230" s="5" t="str">
        <f>""</f>
        <v/>
      </c>
      <c r="AJ230" s="5" t="str">
        <f>""</f>
        <v/>
      </c>
      <c r="AK230" s="8" t="str">
        <f>"1974"</f>
        <v>1974</v>
      </c>
      <c r="AL230" s="5" t="str">
        <f>"20,00"</f>
        <v>20,00</v>
      </c>
      <c r="AM230" s="5" t="str">
        <f>"2030"</f>
        <v>2030</v>
      </c>
      <c r="AN230" s="5" t="str">
        <f t="shared" si="388"/>
        <v>нет</v>
      </c>
      <c r="AO230" s="5" t="str">
        <f t="shared" si="376"/>
        <v>х</v>
      </c>
      <c r="AP230" s="5" t="str">
        <f t="shared" si="376"/>
        <v>х</v>
      </c>
      <c r="AQ230" s="5" t="str">
        <f t="shared" si="376"/>
        <v>х</v>
      </c>
      <c r="AR230" s="5" t="str">
        <f t="shared" si="389"/>
        <v>нет</v>
      </c>
      <c r="AS230" s="5" t="str">
        <f t="shared" si="377"/>
        <v>х</v>
      </c>
      <c r="AT230" s="5" t="str">
        <f t="shared" si="377"/>
        <v>х</v>
      </c>
      <c r="AU230" s="5" t="str">
        <f t="shared" si="377"/>
        <v>х</v>
      </c>
      <c r="AV230" s="5" t="str">
        <f>"1974"</f>
        <v>1974</v>
      </c>
      <c r="AW230" s="5" t="str">
        <f>"20,00"</f>
        <v>20,00</v>
      </c>
      <c r="AX230" s="5" t="str">
        <f>"2030"</f>
        <v>2030</v>
      </c>
      <c r="AY230" s="5" t="str">
        <f t="shared" si="390"/>
        <v>нет</v>
      </c>
      <c r="AZ230" s="5" t="str">
        <f t="shared" si="378"/>
        <v>х</v>
      </c>
      <c r="BA230" s="5" t="str">
        <f t="shared" si="378"/>
        <v>х</v>
      </c>
      <c r="BB230" s="5" t="str">
        <f t="shared" si="378"/>
        <v>х</v>
      </c>
      <c r="BC230" s="5" t="str">
        <f t="shared" si="391"/>
        <v>нет</v>
      </c>
      <c r="BD230" s="5" t="str">
        <f t="shared" si="379"/>
        <v>х</v>
      </c>
      <c r="BE230" s="5" t="str">
        <f t="shared" si="379"/>
        <v>х</v>
      </c>
      <c r="BF230" s="5" t="str">
        <f t="shared" si="379"/>
        <v>х</v>
      </c>
      <c r="BG230" s="5" t="str">
        <f>"1974"</f>
        <v>1974</v>
      </c>
      <c r="BH230" s="5" t="str">
        <f>"21,00"</f>
        <v>21,00</v>
      </c>
      <c r="BI230" s="5" t="str">
        <f>"2030"</f>
        <v>2030</v>
      </c>
      <c r="BJ230" s="5" t="str">
        <f t="shared" si="392"/>
        <v>нет</v>
      </c>
      <c r="BK230" s="5" t="str">
        <f t="shared" si="380"/>
        <v>х</v>
      </c>
      <c r="BL230" s="5" t="str">
        <f t="shared" si="380"/>
        <v>х</v>
      </c>
      <c r="BM230" s="5" t="str">
        <f t="shared" si="380"/>
        <v>х</v>
      </c>
      <c r="BN230" s="5" t="str">
        <f t="shared" si="393"/>
        <v>нет</v>
      </c>
      <c r="BO230" s="5" t="str">
        <f t="shared" si="381"/>
        <v>х</v>
      </c>
      <c r="BP230" s="5" t="str">
        <f t="shared" si="381"/>
        <v>х</v>
      </c>
      <c r="BQ230" s="5" t="str">
        <f t="shared" si="381"/>
        <v>х</v>
      </c>
      <c r="BR230" s="5" t="str">
        <f>"1974"</f>
        <v>1974</v>
      </c>
      <c r="BS230" s="5" t="str">
        <f>"21,00"</f>
        <v>21,00</v>
      </c>
      <c r="BT230" s="5" t="str">
        <f>"2032"</f>
        <v>2032</v>
      </c>
      <c r="BU230" s="5" t="str">
        <f t="shared" si="339"/>
        <v>нет</v>
      </c>
      <c r="BV230" s="5" t="str">
        <f t="shared" si="367"/>
        <v>x</v>
      </c>
      <c r="BW230" s="5" t="str">
        <f t="shared" si="367"/>
        <v>x</v>
      </c>
      <c r="BX230" s="5" t="str">
        <f t="shared" si="367"/>
        <v>x</v>
      </c>
      <c r="BY230" s="5" t="str">
        <f t="shared" si="338"/>
        <v>нет</v>
      </c>
      <c r="BZ230" s="5" t="str">
        <f>"1974"</f>
        <v>1974</v>
      </c>
      <c r="CA230" s="5" t="str">
        <f>"21,00"</f>
        <v>21,00</v>
      </c>
      <c r="CB230" s="5" t="str">
        <f>"2032"</f>
        <v>2032</v>
      </c>
      <c r="CC230" s="5" t="str">
        <f>"1974"</f>
        <v>1974</v>
      </c>
      <c r="CD230" s="5" t="str">
        <f>"22,00"</f>
        <v>22,00</v>
      </c>
      <c r="CE230" s="5" t="str">
        <f>"2032"</f>
        <v>2032</v>
      </c>
      <c r="CF230" s="5" t="str">
        <f>"1974"</f>
        <v>1974</v>
      </c>
      <c r="CG230" s="5" t="str">
        <f>"22,00"</f>
        <v>22,00</v>
      </c>
      <c r="CH230" s="5" t="str">
        <f>"2032"</f>
        <v>2032</v>
      </c>
      <c r="CI230" s="5" t="str">
        <f>"22,00"</f>
        <v>22,00</v>
      </c>
      <c r="CJ230" s="5" t="str">
        <f>"2035"</f>
        <v>2035</v>
      </c>
    </row>
    <row r="231" spans="1:88" ht="11.25" customHeight="1">
      <c r="A231" s="3" t="str">
        <f>"1.218"</f>
        <v>1.218</v>
      </c>
      <c r="B231" s="4" t="str">
        <f>"г. Грязовец, ул. Победы, д.68"</f>
        <v>г. Грязовец, ул. Победы, д.68</v>
      </c>
      <c r="C231" s="7" t="str">
        <f>"1973"</f>
        <v>1973</v>
      </c>
      <c r="D231" s="5" t="str">
        <f>"1973"</f>
        <v>1973</v>
      </c>
      <c r="E231" s="5" t="str">
        <f>"10,00"</f>
        <v>10,00</v>
      </c>
      <c r="F231" s="5" t="str">
        <f>"2038"</f>
        <v>2038</v>
      </c>
      <c r="G231" s="5" t="str">
        <f t="shared" si="369"/>
        <v>нет</v>
      </c>
      <c r="H231" s="5" t="str">
        <f>""</f>
        <v/>
      </c>
      <c r="I231" s="5" t="str">
        <f>""</f>
        <v/>
      </c>
      <c r="J231" s="5" t="str">
        <f>""</f>
        <v/>
      </c>
      <c r="K231" s="5" t="str">
        <f t="shared" si="370"/>
        <v>нет</v>
      </c>
      <c r="L231" s="5" t="str">
        <f>""</f>
        <v/>
      </c>
      <c r="M231" s="5" t="str">
        <f>""</f>
        <v/>
      </c>
      <c r="N231" s="5" t="str">
        <f>""</f>
        <v/>
      </c>
      <c r="O231" s="8" t="str">
        <f>"1973"</f>
        <v>1973</v>
      </c>
      <c r="P231" s="5" t="str">
        <f>"11,00"</f>
        <v>11,00</v>
      </c>
      <c r="Q231" s="5" t="str">
        <f>"2038"</f>
        <v>2038</v>
      </c>
      <c r="R231" s="5" t="str">
        <f t="shared" si="386"/>
        <v>нет</v>
      </c>
      <c r="S231" s="5" t="str">
        <f t="shared" si="372"/>
        <v>х</v>
      </c>
      <c r="T231" s="5" t="str">
        <f t="shared" si="372"/>
        <v>х</v>
      </c>
      <c r="U231" s="5" t="str">
        <f t="shared" si="372"/>
        <v>х</v>
      </c>
      <c r="V231" s="5" t="str">
        <f t="shared" si="387"/>
        <v>нет</v>
      </c>
      <c r="W231" s="5" t="str">
        <f t="shared" si="373"/>
        <v>х</v>
      </c>
      <c r="X231" s="5" t="str">
        <f t="shared" si="373"/>
        <v>х</v>
      </c>
      <c r="Y231" s="9" t="str">
        <f t="shared" si="373"/>
        <v>х</v>
      </c>
      <c r="Z231" s="5" t="str">
        <f>"1973"</f>
        <v>1973</v>
      </c>
      <c r="AA231" s="5" t="str">
        <f>"11,00"</f>
        <v>11,00</v>
      </c>
      <c r="AB231" s="5" t="str">
        <f>"2038"</f>
        <v>2038</v>
      </c>
      <c r="AC231" s="5" t="str">
        <f t="shared" si="374"/>
        <v>нет</v>
      </c>
      <c r="AD231" s="5" t="str">
        <f>""</f>
        <v/>
      </c>
      <c r="AE231" s="5" t="str">
        <f>""</f>
        <v/>
      </c>
      <c r="AF231" s="5" t="str">
        <f>""</f>
        <v/>
      </c>
      <c r="AG231" s="5" t="str">
        <f t="shared" si="375"/>
        <v>нет</v>
      </c>
      <c r="AH231" s="5" t="str">
        <f>""</f>
        <v/>
      </c>
      <c r="AI231" s="5" t="str">
        <f>""</f>
        <v/>
      </c>
      <c r="AJ231" s="5" t="str">
        <f>""</f>
        <v/>
      </c>
      <c r="AK231" s="8" t="str">
        <f>"1973"</f>
        <v>1973</v>
      </c>
      <c r="AL231" s="5" t="str">
        <f>"11,00"</f>
        <v>11,00</v>
      </c>
      <c r="AM231" s="5" t="str">
        <f>"2038"</f>
        <v>2038</v>
      </c>
      <c r="AN231" s="5" t="str">
        <f t="shared" si="388"/>
        <v>нет</v>
      </c>
      <c r="AO231" s="5" t="str">
        <f t="shared" si="376"/>
        <v>х</v>
      </c>
      <c r="AP231" s="5" t="str">
        <f t="shared" si="376"/>
        <v>х</v>
      </c>
      <c r="AQ231" s="5" t="str">
        <f t="shared" si="376"/>
        <v>х</v>
      </c>
      <c r="AR231" s="5" t="str">
        <f t="shared" si="389"/>
        <v>нет</v>
      </c>
      <c r="AS231" s="5" t="str">
        <f t="shared" si="377"/>
        <v>х</v>
      </c>
      <c r="AT231" s="5" t="str">
        <f t="shared" si="377"/>
        <v>х</v>
      </c>
      <c r="AU231" s="5" t="str">
        <f t="shared" si="377"/>
        <v>х</v>
      </c>
      <c r="AV231" s="5" t="str">
        <f>"1973"</f>
        <v>1973</v>
      </c>
      <c r="AW231" s="5" t="str">
        <f>"12,00"</f>
        <v>12,00</v>
      </c>
      <c r="AX231" s="5" t="str">
        <f>"2038"</f>
        <v>2038</v>
      </c>
      <c r="AY231" s="5" t="str">
        <f t="shared" si="390"/>
        <v>нет</v>
      </c>
      <c r="AZ231" s="5" t="str">
        <f t="shared" si="378"/>
        <v>х</v>
      </c>
      <c r="BA231" s="5" t="str">
        <f t="shared" si="378"/>
        <v>х</v>
      </c>
      <c r="BB231" s="5" t="str">
        <f t="shared" si="378"/>
        <v>х</v>
      </c>
      <c r="BC231" s="5" t="str">
        <f t="shared" si="391"/>
        <v>нет</v>
      </c>
      <c r="BD231" s="5" t="str">
        <f t="shared" si="379"/>
        <v>х</v>
      </c>
      <c r="BE231" s="5" t="str">
        <f t="shared" si="379"/>
        <v>х</v>
      </c>
      <c r="BF231" s="5" t="str">
        <f t="shared" si="379"/>
        <v>х</v>
      </c>
      <c r="BG231" s="5" t="str">
        <f>"1973"</f>
        <v>1973</v>
      </c>
      <c r="BH231" s="5" t="str">
        <f>"12,00"</f>
        <v>12,00</v>
      </c>
      <c r="BI231" s="5" t="str">
        <f>"2038"</f>
        <v>2038</v>
      </c>
      <c r="BJ231" s="5" t="str">
        <f t="shared" si="392"/>
        <v>нет</v>
      </c>
      <c r="BK231" s="5" t="str">
        <f t="shared" si="380"/>
        <v>х</v>
      </c>
      <c r="BL231" s="5" t="str">
        <f t="shared" si="380"/>
        <v>х</v>
      </c>
      <c r="BM231" s="5" t="str">
        <f t="shared" si="380"/>
        <v>х</v>
      </c>
      <c r="BN231" s="5" t="str">
        <f t="shared" si="393"/>
        <v>нет</v>
      </c>
      <c r="BO231" s="5" t="str">
        <f t="shared" si="381"/>
        <v>х</v>
      </c>
      <c r="BP231" s="5" t="str">
        <f t="shared" si="381"/>
        <v>х</v>
      </c>
      <c r="BQ231" s="5" t="str">
        <f t="shared" si="381"/>
        <v>х</v>
      </c>
      <c r="BR231" s="5" t="str">
        <f>"1973"</f>
        <v>1973</v>
      </c>
      <c r="BS231" s="5" t="str">
        <f>"13,00"</f>
        <v>13,00</v>
      </c>
      <c r="BT231" s="5" t="str">
        <f>"2038"</f>
        <v>2038</v>
      </c>
      <c r="BU231" s="5" t="str">
        <f t="shared" si="339"/>
        <v>нет</v>
      </c>
      <c r="BV231" s="5" t="str">
        <f t="shared" si="367"/>
        <v>x</v>
      </c>
      <c r="BW231" s="5" t="str">
        <f t="shared" si="367"/>
        <v>x</v>
      </c>
      <c r="BX231" s="5" t="str">
        <f t="shared" si="367"/>
        <v>x</v>
      </c>
      <c r="BY231" s="5" t="str">
        <f t="shared" si="338"/>
        <v>нет</v>
      </c>
      <c r="BZ231" s="5" t="str">
        <f>"1973"</f>
        <v>1973</v>
      </c>
      <c r="CA231" s="5" t="str">
        <f>"12,00"</f>
        <v>12,00</v>
      </c>
      <c r="CB231" s="5" t="str">
        <f>"2038"</f>
        <v>2038</v>
      </c>
      <c r="CC231" s="5" t="str">
        <f>"1973"</f>
        <v>1973</v>
      </c>
      <c r="CD231" s="5" t="str">
        <f>"12,00"</f>
        <v>12,00</v>
      </c>
      <c r="CE231" s="5" t="str">
        <f>"2038"</f>
        <v>2038</v>
      </c>
      <c r="CF231" s="5" t="str">
        <f>"1973"</f>
        <v>1973</v>
      </c>
      <c r="CG231" s="5" t="str">
        <f>"13,00"</f>
        <v>13,00</v>
      </c>
      <c r="CH231" s="5" t="str">
        <f>"2038"</f>
        <v>2038</v>
      </c>
      <c r="CI231" s="5" t="str">
        <f>"13,00"</f>
        <v>13,00</v>
      </c>
      <c r="CJ231" s="5" t="str">
        <f>"2040"</f>
        <v>2040</v>
      </c>
    </row>
    <row r="232" spans="1:88" ht="11.25" customHeight="1">
      <c r="A232" s="3" t="str">
        <f>"1.219"</f>
        <v>1.219</v>
      </c>
      <c r="B232" s="4" t="str">
        <f>"г. Грязовец, ул. Победы, д.83"</f>
        <v>г. Грязовец, ул. Победы, д.83</v>
      </c>
      <c r="C232" s="7" t="str">
        <f>"1980"</f>
        <v>1980</v>
      </c>
      <c r="D232" s="5" t="str">
        <f>"1980"</f>
        <v>1980</v>
      </c>
      <c r="E232" s="5" t="str">
        <f>"7,00"</f>
        <v>7,00</v>
      </c>
      <c r="F232" s="5" t="str">
        <f>"2038"</f>
        <v>2038</v>
      </c>
      <c r="G232" s="5" t="str">
        <f t="shared" si="369"/>
        <v>нет</v>
      </c>
      <c r="H232" s="5" t="str">
        <f>""</f>
        <v/>
      </c>
      <c r="I232" s="5" t="str">
        <f>""</f>
        <v/>
      </c>
      <c r="J232" s="5" t="str">
        <f>""</f>
        <v/>
      </c>
      <c r="K232" s="5" t="str">
        <f t="shared" si="370"/>
        <v>нет</v>
      </c>
      <c r="L232" s="5" t="str">
        <f>""</f>
        <v/>
      </c>
      <c r="M232" s="5" t="str">
        <f>""</f>
        <v/>
      </c>
      <c r="N232" s="5" t="str">
        <f>""</f>
        <v/>
      </c>
      <c r="O232" s="8" t="str">
        <f>"1980"</f>
        <v>1980</v>
      </c>
      <c r="P232" s="5" t="str">
        <f>"7,00"</f>
        <v>7,00</v>
      </c>
      <c r="Q232" s="5" t="str">
        <f>"2038"</f>
        <v>2038</v>
      </c>
      <c r="R232" s="5" t="str">
        <f t="shared" si="386"/>
        <v>нет</v>
      </c>
      <c r="S232" s="5" t="str">
        <f t="shared" si="372"/>
        <v>х</v>
      </c>
      <c r="T232" s="5" t="str">
        <f t="shared" si="372"/>
        <v>х</v>
      </c>
      <c r="U232" s="5" t="str">
        <f t="shared" si="372"/>
        <v>х</v>
      </c>
      <c r="V232" s="5" t="str">
        <f t="shared" si="387"/>
        <v>нет</v>
      </c>
      <c r="W232" s="5" t="str">
        <f t="shared" si="373"/>
        <v>х</v>
      </c>
      <c r="X232" s="5" t="str">
        <f t="shared" si="373"/>
        <v>х</v>
      </c>
      <c r="Y232" s="9" t="str">
        <f t="shared" si="373"/>
        <v>х</v>
      </c>
      <c r="Z232" s="5" t="str">
        <f>"1980"</f>
        <v>1980</v>
      </c>
      <c r="AA232" s="5" t="str">
        <f>"8,00"</f>
        <v>8,00</v>
      </c>
      <c r="AB232" s="5" t="str">
        <f>"2038"</f>
        <v>2038</v>
      </c>
      <c r="AC232" s="5" t="str">
        <f t="shared" si="374"/>
        <v>нет</v>
      </c>
      <c r="AD232" s="5" t="str">
        <f>""</f>
        <v/>
      </c>
      <c r="AE232" s="5" t="str">
        <f>""</f>
        <v/>
      </c>
      <c r="AF232" s="5" t="str">
        <f>""</f>
        <v/>
      </c>
      <c r="AG232" s="5" t="str">
        <f t="shared" si="375"/>
        <v>нет</v>
      </c>
      <c r="AH232" s="5" t="str">
        <f>""</f>
        <v/>
      </c>
      <c r="AI232" s="5" t="str">
        <f>""</f>
        <v/>
      </c>
      <c r="AJ232" s="5" t="str">
        <f>""</f>
        <v/>
      </c>
      <c r="AK232" s="8" t="str">
        <f>"1980"</f>
        <v>1980</v>
      </c>
      <c r="AL232" s="5" t="str">
        <f>"8,00"</f>
        <v>8,00</v>
      </c>
      <c r="AM232" s="5" t="str">
        <f>"2038"</f>
        <v>2038</v>
      </c>
      <c r="AN232" s="5" t="str">
        <f t="shared" si="388"/>
        <v>нет</v>
      </c>
      <c r="AO232" s="5" t="str">
        <f t="shared" si="376"/>
        <v>х</v>
      </c>
      <c r="AP232" s="5" t="str">
        <f t="shared" si="376"/>
        <v>х</v>
      </c>
      <c r="AQ232" s="5" t="str">
        <f t="shared" si="376"/>
        <v>х</v>
      </c>
      <c r="AR232" s="5" t="str">
        <f t="shared" si="389"/>
        <v>нет</v>
      </c>
      <c r="AS232" s="5" t="str">
        <f t="shared" si="377"/>
        <v>х</v>
      </c>
      <c r="AT232" s="5" t="str">
        <f t="shared" si="377"/>
        <v>х</v>
      </c>
      <c r="AU232" s="5" t="str">
        <f t="shared" si="377"/>
        <v>х</v>
      </c>
      <c r="AV232" s="5" t="str">
        <f>"1980"</f>
        <v>1980</v>
      </c>
      <c r="AW232" s="5" t="str">
        <f>"8,00"</f>
        <v>8,00</v>
      </c>
      <c r="AX232" s="5" t="str">
        <f>"2038"</f>
        <v>2038</v>
      </c>
      <c r="AY232" s="5" t="str">
        <f t="shared" si="390"/>
        <v>нет</v>
      </c>
      <c r="AZ232" s="5" t="str">
        <f t="shared" si="378"/>
        <v>х</v>
      </c>
      <c r="BA232" s="5" t="str">
        <f t="shared" si="378"/>
        <v>х</v>
      </c>
      <c r="BB232" s="5" t="str">
        <f t="shared" si="378"/>
        <v>х</v>
      </c>
      <c r="BC232" s="5" t="str">
        <f t="shared" si="391"/>
        <v>нет</v>
      </c>
      <c r="BD232" s="5" t="str">
        <f t="shared" si="379"/>
        <v>х</v>
      </c>
      <c r="BE232" s="5" t="str">
        <f t="shared" si="379"/>
        <v>х</v>
      </c>
      <c r="BF232" s="5" t="str">
        <f t="shared" si="379"/>
        <v>х</v>
      </c>
      <c r="BG232" s="5" t="str">
        <f>"1980"</f>
        <v>1980</v>
      </c>
      <c r="BH232" s="5" t="str">
        <f>"9,00"</f>
        <v>9,00</v>
      </c>
      <c r="BI232" s="5" t="str">
        <f>"2038"</f>
        <v>2038</v>
      </c>
      <c r="BJ232" s="5" t="str">
        <f t="shared" si="392"/>
        <v>нет</v>
      </c>
      <c r="BK232" s="5" t="str">
        <f t="shared" si="380"/>
        <v>х</v>
      </c>
      <c r="BL232" s="5" t="str">
        <f t="shared" si="380"/>
        <v>х</v>
      </c>
      <c r="BM232" s="5" t="str">
        <f t="shared" si="380"/>
        <v>х</v>
      </c>
      <c r="BN232" s="5" t="str">
        <f t="shared" si="393"/>
        <v>нет</v>
      </c>
      <c r="BO232" s="5" t="str">
        <f t="shared" si="381"/>
        <v>х</v>
      </c>
      <c r="BP232" s="5" t="str">
        <f t="shared" si="381"/>
        <v>х</v>
      </c>
      <c r="BQ232" s="5" t="str">
        <f t="shared" si="381"/>
        <v>х</v>
      </c>
      <c r="BR232" s="5" t="str">
        <f>"1980"</f>
        <v>1980</v>
      </c>
      <c r="BS232" s="5" t="str">
        <f>"7,00"</f>
        <v>7,00</v>
      </c>
      <c r="BT232" s="5" t="str">
        <f>"2038"</f>
        <v>2038</v>
      </c>
      <c r="BU232" s="5" t="str">
        <f t="shared" si="339"/>
        <v>нет</v>
      </c>
      <c r="BV232" s="5" t="str">
        <f t="shared" si="367"/>
        <v>x</v>
      </c>
      <c r="BW232" s="5" t="str">
        <f t="shared" si="367"/>
        <v>x</v>
      </c>
      <c r="BX232" s="5" t="str">
        <f t="shared" si="367"/>
        <v>x</v>
      </c>
      <c r="BY232" s="5" t="str">
        <f t="shared" si="338"/>
        <v>нет</v>
      </c>
      <c r="BZ232" s="5" t="str">
        <f>"1980"</f>
        <v>1980</v>
      </c>
      <c r="CA232" s="5" t="str">
        <f>"9,00"</f>
        <v>9,00</v>
      </c>
      <c r="CB232" s="5" t="str">
        <f>"2038"</f>
        <v>2038</v>
      </c>
      <c r="CC232" s="5" t="str">
        <f>"1980"</f>
        <v>1980</v>
      </c>
      <c r="CD232" s="5" t="str">
        <f>"8,00"</f>
        <v>8,00</v>
      </c>
      <c r="CE232" s="5" t="str">
        <f>"2038"</f>
        <v>2038</v>
      </c>
      <c r="CF232" s="5" t="str">
        <f>"1980"</f>
        <v>1980</v>
      </c>
      <c r="CG232" s="5" t="str">
        <f>"10,00"</f>
        <v>10,00</v>
      </c>
      <c r="CH232" s="5" t="str">
        <f>"2038"</f>
        <v>2038</v>
      </c>
      <c r="CI232" s="5" t="str">
        <f>"10,00"</f>
        <v>10,00</v>
      </c>
      <c r="CJ232" s="5" t="str">
        <f>"2040"</f>
        <v>2040</v>
      </c>
    </row>
    <row r="233" spans="1:88" ht="11.25" customHeight="1">
      <c r="A233" s="3" t="str">
        <f>"1.220"</f>
        <v>1.220</v>
      </c>
      <c r="B233" s="4" t="str">
        <f>"г. Грязовец, ул. Победы, д.93"</f>
        <v>г. Грязовец, ул. Победы, д.93</v>
      </c>
      <c r="C233" s="7" t="str">
        <f>"1982"</f>
        <v>1982</v>
      </c>
      <c r="D233" s="5" t="str">
        <f>"1982"</f>
        <v>1982</v>
      </c>
      <c r="E233" s="5" t="str">
        <f>"10,00"</f>
        <v>10,00</v>
      </c>
      <c r="F233" s="5" t="str">
        <f>"2032"</f>
        <v>2032</v>
      </c>
      <c r="G233" s="5" t="str">
        <f t="shared" si="369"/>
        <v>нет</v>
      </c>
      <c r="H233" s="5" t="str">
        <f>""</f>
        <v/>
      </c>
      <c r="I233" s="5" t="str">
        <f>""</f>
        <v/>
      </c>
      <c r="J233" s="5" t="str">
        <f>""</f>
        <v/>
      </c>
      <c r="K233" s="5" t="str">
        <f t="shared" si="370"/>
        <v>нет</v>
      </c>
      <c r="L233" s="5" t="str">
        <f>""</f>
        <v/>
      </c>
      <c r="M233" s="5" t="str">
        <f>""</f>
        <v/>
      </c>
      <c r="N233" s="5" t="str">
        <f>""</f>
        <v/>
      </c>
      <c r="O233" s="8" t="str">
        <f>"1982"</f>
        <v>1982</v>
      </c>
      <c r="P233" s="5" t="str">
        <f>"11,00"</f>
        <v>11,00</v>
      </c>
      <c r="Q233" s="5" t="str">
        <f>"2032"</f>
        <v>2032</v>
      </c>
      <c r="R233" s="5" t="str">
        <f t="shared" si="386"/>
        <v>нет</v>
      </c>
      <c r="S233" s="5" t="str">
        <f t="shared" si="372"/>
        <v>х</v>
      </c>
      <c r="T233" s="5" t="str">
        <f t="shared" si="372"/>
        <v>х</v>
      </c>
      <c r="U233" s="5" t="str">
        <f t="shared" si="372"/>
        <v>х</v>
      </c>
      <c r="V233" s="5" t="str">
        <f t="shared" si="387"/>
        <v>нет</v>
      </c>
      <c r="W233" s="5" t="str">
        <f t="shared" si="373"/>
        <v>х</v>
      </c>
      <c r="X233" s="5" t="str">
        <f t="shared" si="373"/>
        <v>х</v>
      </c>
      <c r="Y233" s="9" t="str">
        <f t="shared" si="373"/>
        <v>х</v>
      </c>
      <c r="Z233" s="5" t="str">
        <f>"1982"</f>
        <v>1982</v>
      </c>
      <c r="AA233" s="5" t="str">
        <f>"11,00"</f>
        <v>11,00</v>
      </c>
      <c r="AB233" s="5" t="str">
        <f>"2032"</f>
        <v>2032</v>
      </c>
      <c r="AC233" s="5" t="str">
        <f t="shared" si="374"/>
        <v>нет</v>
      </c>
      <c r="AD233" s="5" t="str">
        <f>""</f>
        <v/>
      </c>
      <c r="AE233" s="5" t="str">
        <f>""</f>
        <v/>
      </c>
      <c r="AF233" s="5" t="str">
        <f>""</f>
        <v/>
      </c>
      <c r="AG233" s="5" t="str">
        <f t="shared" si="375"/>
        <v>нет</v>
      </c>
      <c r="AH233" s="5" t="str">
        <f>""</f>
        <v/>
      </c>
      <c r="AI233" s="5" t="str">
        <f>""</f>
        <v/>
      </c>
      <c r="AJ233" s="5" t="str">
        <f>""</f>
        <v/>
      </c>
      <c r="AK233" s="8" t="str">
        <f>"1982"</f>
        <v>1982</v>
      </c>
      <c r="AL233" s="5" t="str">
        <f>"12,00"</f>
        <v>12,00</v>
      </c>
      <c r="AM233" s="5" t="str">
        <f>"2031"</f>
        <v>2031</v>
      </c>
      <c r="AN233" s="5" t="str">
        <f t="shared" si="388"/>
        <v>нет</v>
      </c>
      <c r="AO233" s="5" t="str">
        <f t="shared" si="376"/>
        <v>х</v>
      </c>
      <c r="AP233" s="5" t="str">
        <f t="shared" si="376"/>
        <v>х</v>
      </c>
      <c r="AQ233" s="5" t="str">
        <f t="shared" si="376"/>
        <v>х</v>
      </c>
      <c r="AR233" s="5" t="str">
        <f t="shared" si="389"/>
        <v>нет</v>
      </c>
      <c r="AS233" s="5" t="str">
        <f t="shared" si="377"/>
        <v>х</v>
      </c>
      <c r="AT233" s="5" t="str">
        <f t="shared" si="377"/>
        <v>х</v>
      </c>
      <c r="AU233" s="5" t="str">
        <f t="shared" si="377"/>
        <v>х</v>
      </c>
      <c r="AV233" s="5" t="str">
        <f>"1982"</f>
        <v>1982</v>
      </c>
      <c r="AW233" s="5" t="str">
        <f>"13,00"</f>
        <v>13,00</v>
      </c>
      <c r="AX233" s="5" t="str">
        <f>"2031"</f>
        <v>2031</v>
      </c>
      <c r="AY233" s="5" t="str">
        <f t="shared" si="390"/>
        <v>нет</v>
      </c>
      <c r="AZ233" s="5" t="str">
        <f t="shared" si="378"/>
        <v>х</v>
      </c>
      <c r="BA233" s="5" t="str">
        <f t="shared" si="378"/>
        <v>х</v>
      </c>
      <c r="BB233" s="5" t="str">
        <f t="shared" si="378"/>
        <v>х</v>
      </c>
      <c r="BC233" s="5" t="str">
        <f t="shared" si="391"/>
        <v>нет</v>
      </c>
      <c r="BD233" s="5" t="str">
        <f t="shared" si="379"/>
        <v>х</v>
      </c>
      <c r="BE233" s="5" t="str">
        <f t="shared" si="379"/>
        <v>х</v>
      </c>
      <c r="BF233" s="5" t="str">
        <f t="shared" si="379"/>
        <v>х</v>
      </c>
      <c r="BG233" s="5" t="str">
        <f>"1982"</f>
        <v>1982</v>
      </c>
      <c r="BH233" s="5" t="str">
        <f>"13,00"</f>
        <v>13,00</v>
      </c>
      <c r="BI233" s="5" t="str">
        <f>"2032"</f>
        <v>2032</v>
      </c>
      <c r="BJ233" s="5" t="str">
        <f t="shared" si="392"/>
        <v>нет</v>
      </c>
      <c r="BK233" s="5" t="str">
        <f t="shared" si="380"/>
        <v>х</v>
      </c>
      <c r="BL233" s="5" t="str">
        <f t="shared" si="380"/>
        <v>х</v>
      </c>
      <c r="BM233" s="5" t="str">
        <f t="shared" si="380"/>
        <v>х</v>
      </c>
      <c r="BN233" s="5" t="str">
        <f t="shared" si="393"/>
        <v>нет</v>
      </c>
      <c r="BO233" s="5" t="str">
        <f t="shared" si="381"/>
        <v>х</v>
      </c>
      <c r="BP233" s="5" t="str">
        <f t="shared" si="381"/>
        <v>х</v>
      </c>
      <c r="BQ233" s="5" t="str">
        <f t="shared" si="381"/>
        <v>х</v>
      </c>
      <c r="BR233" s="5" t="str">
        <f>"1982"</f>
        <v>1982</v>
      </c>
      <c r="BS233" s="5" t="str">
        <f>"12,00"</f>
        <v>12,00</v>
      </c>
      <c r="BT233" s="5" t="str">
        <f>"2033"</f>
        <v>2033</v>
      </c>
      <c r="BU233" s="5" t="str">
        <f t="shared" si="339"/>
        <v>нет</v>
      </c>
      <c r="BV233" s="5" t="str">
        <f t="shared" si="367"/>
        <v>x</v>
      </c>
      <c r="BW233" s="5" t="str">
        <f t="shared" si="367"/>
        <v>x</v>
      </c>
      <c r="BX233" s="5" t="str">
        <f t="shared" si="367"/>
        <v>x</v>
      </c>
      <c r="BY233" s="5" t="str">
        <f t="shared" si="338"/>
        <v>нет</v>
      </c>
      <c r="BZ233" s="5" t="str">
        <f>"1982"</f>
        <v>1982</v>
      </c>
      <c r="CA233" s="5" t="str">
        <f>"13,00"</f>
        <v>13,00</v>
      </c>
      <c r="CB233" s="5" t="str">
        <f>"2032"</f>
        <v>2032</v>
      </c>
      <c r="CC233" s="5" t="str">
        <f>"1982"</f>
        <v>1982</v>
      </c>
      <c r="CD233" s="5" t="str">
        <f>"14,00"</f>
        <v>14,00</v>
      </c>
      <c r="CE233" s="5" t="str">
        <f>"2033"</f>
        <v>2033</v>
      </c>
      <c r="CF233" s="5" t="str">
        <f>"1982"</f>
        <v>1982</v>
      </c>
      <c r="CG233" s="5" t="str">
        <f>"15,00"</f>
        <v>15,00</v>
      </c>
      <c r="CH233" s="5" t="str">
        <f>"2033"</f>
        <v>2033</v>
      </c>
      <c r="CI233" s="5" t="str">
        <f>"15,00"</f>
        <v>15,00</v>
      </c>
      <c r="CJ233" s="5" t="str">
        <f>"2035"</f>
        <v>2035</v>
      </c>
    </row>
    <row r="234" spans="1:88" ht="11.25" customHeight="1">
      <c r="A234" s="3" t="str">
        <f>"1.221"</f>
        <v>1.221</v>
      </c>
      <c r="B234" s="4" t="str">
        <f>"г. Грязовец, ул. Привокзальная, д.1"</f>
        <v>г. Грязовец, ул. Привокзальная, д.1</v>
      </c>
      <c r="C234" s="7" t="str">
        <f>"1959"</f>
        <v>1959</v>
      </c>
      <c r="D234" s="5" t="str">
        <f>"1959"</f>
        <v>1959</v>
      </c>
      <c r="E234" s="5" t="str">
        <f>"39,00"</f>
        <v>39,00</v>
      </c>
      <c r="F234" s="5" t="str">
        <f>"2024"</f>
        <v>2024</v>
      </c>
      <c r="G234" s="5" t="str">
        <f t="shared" si="369"/>
        <v>нет</v>
      </c>
      <c r="H234" s="5" t="str">
        <f>""</f>
        <v/>
      </c>
      <c r="I234" s="5" t="str">
        <f>""</f>
        <v/>
      </c>
      <c r="J234" s="5" t="str">
        <f>""</f>
        <v/>
      </c>
      <c r="K234" s="5" t="str">
        <f t="shared" si="370"/>
        <v>нет</v>
      </c>
      <c r="L234" s="5" t="str">
        <f>""</f>
        <v/>
      </c>
      <c r="M234" s="5" t="str">
        <f>""</f>
        <v/>
      </c>
      <c r="N234" s="5" t="str">
        <f>""</f>
        <v/>
      </c>
      <c r="O234" s="8" t="str">
        <f>"1959"</f>
        <v>1959</v>
      </c>
      <c r="P234" s="5" t="str">
        <f>"41,00"</f>
        <v>41,00</v>
      </c>
      <c r="Q234" s="5" t="str">
        <f>"2025"</f>
        <v>2025</v>
      </c>
      <c r="R234" s="5" t="str">
        <f t="shared" si="386"/>
        <v>нет</v>
      </c>
      <c r="S234" s="5" t="str">
        <f t="shared" si="372"/>
        <v>х</v>
      </c>
      <c r="T234" s="5" t="str">
        <f t="shared" si="372"/>
        <v>х</v>
      </c>
      <c r="U234" s="5" t="str">
        <f t="shared" si="372"/>
        <v>х</v>
      </c>
      <c r="V234" s="5" t="str">
        <f t="shared" si="387"/>
        <v>нет</v>
      </c>
      <c r="W234" s="5" t="str">
        <f t="shared" si="373"/>
        <v>х</v>
      </c>
      <c r="X234" s="5" t="str">
        <f t="shared" si="373"/>
        <v>х</v>
      </c>
      <c r="Y234" s="9" t="str">
        <f t="shared" si="373"/>
        <v>х</v>
      </c>
      <c r="Z234" s="5" t="str">
        <f>"1959"</f>
        <v>1959</v>
      </c>
      <c r="AA234" s="5" t="str">
        <f>"42,00"</f>
        <v>42,00</v>
      </c>
      <c r="AB234" s="5" t="str">
        <f>"2023"</f>
        <v>2023</v>
      </c>
      <c r="AC234" s="5" t="str">
        <f t="shared" si="374"/>
        <v>нет</v>
      </c>
      <c r="AD234" s="5" t="str">
        <f>"х"</f>
        <v>х</v>
      </c>
      <c r="AE234" s="5" t="str">
        <f>"х"</f>
        <v>х</v>
      </c>
      <c r="AF234" s="5" t="str">
        <f>"х"</f>
        <v>х</v>
      </c>
      <c r="AG234" s="5" t="str">
        <f t="shared" si="375"/>
        <v>нет</v>
      </c>
      <c r="AH234" s="5" t="str">
        <f>"х"</f>
        <v>х</v>
      </c>
      <c r="AI234" s="5" t="str">
        <f>"х"</f>
        <v>х</v>
      </c>
      <c r="AJ234" s="5" t="str">
        <f>"х"</f>
        <v>х</v>
      </c>
      <c r="AK234" s="8" t="str">
        <f>"1959"</f>
        <v>1959</v>
      </c>
      <c r="AL234" s="5" t="str">
        <f>"39,50"</f>
        <v>39,50</v>
      </c>
      <c r="AM234" s="5" t="str">
        <f>"2019"</f>
        <v>2019</v>
      </c>
      <c r="AN234" s="5" t="str">
        <f t="shared" si="388"/>
        <v>нет</v>
      </c>
      <c r="AO234" s="5" t="str">
        <f t="shared" si="376"/>
        <v>х</v>
      </c>
      <c r="AP234" s="5" t="str">
        <f t="shared" si="376"/>
        <v>х</v>
      </c>
      <c r="AQ234" s="5" t="str">
        <f t="shared" si="376"/>
        <v>х</v>
      </c>
      <c r="AR234" s="5" t="str">
        <f t="shared" si="389"/>
        <v>нет</v>
      </c>
      <c r="AS234" s="5" t="str">
        <f t="shared" si="377"/>
        <v>х</v>
      </c>
      <c r="AT234" s="5" t="str">
        <f t="shared" si="377"/>
        <v>х</v>
      </c>
      <c r="AU234" s="5" t="str">
        <f t="shared" si="377"/>
        <v>х</v>
      </c>
      <c r="AV234" s="5" t="str">
        <f>"1959"</f>
        <v>1959</v>
      </c>
      <c r="AW234" s="5" t="str">
        <f>"44,00"</f>
        <v>44,00</v>
      </c>
      <c r="AX234" s="5" t="str">
        <f>"2020"</f>
        <v>2020</v>
      </c>
      <c r="AY234" s="5" t="str">
        <f t="shared" si="390"/>
        <v>нет</v>
      </c>
      <c r="AZ234" s="5" t="str">
        <f t="shared" si="378"/>
        <v>х</v>
      </c>
      <c r="BA234" s="5" t="str">
        <f t="shared" si="378"/>
        <v>х</v>
      </c>
      <c r="BB234" s="5" t="str">
        <f t="shared" si="378"/>
        <v>х</v>
      </c>
      <c r="BC234" s="5" t="str">
        <f t="shared" si="391"/>
        <v>нет</v>
      </c>
      <c r="BD234" s="5" t="str">
        <f t="shared" si="379"/>
        <v>х</v>
      </c>
      <c r="BE234" s="5" t="str">
        <f t="shared" si="379"/>
        <v>х</v>
      </c>
      <c r="BF234" s="5" t="str">
        <f t="shared" si="379"/>
        <v>х</v>
      </c>
      <c r="BG234" s="5" t="str">
        <f>"1959"</f>
        <v>1959</v>
      </c>
      <c r="BH234" s="5" t="str">
        <f>"48,00"</f>
        <v>48,00</v>
      </c>
      <c r="BI234" s="5" t="str">
        <f>"2019"</f>
        <v>2019</v>
      </c>
      <c r="BJ234" s="5" t="str">
        <f t="shared" si="392"/>
        <v>нет</v>
      </c>
      <c r="BK234" s="5" t="str">
        <f t="shared" si="380"/>
        <v>х</v>
      </c>
      <c r="BL234" s="5" t="str">
        <f t="shared" si="380"/>
        <v>х</v>
      </c>
      <c r="BM234" s="5" t="str">
        <f t="shared" si="380"/>
        <v>х</v>
      </c>
      <c r="BN234" s="5" t="str">
        <f t="shared" si="393"/>
        <v>нет</v>
      </c>
      <c r="BO234" s="5" t="str">
        <f t="shared" si="381"/>
        <v>х</v>
      </c>
      <c r="BP234" s="5" t="str">
        <f t="shared" si="381"/>
        <v>х</v>
      </c>
      <c r="BQ234" s="5" t="str">
        <f t="shared" si="381"/>
        <v>х</v>
      </c>
      <c r="BR234" s="5" t="str">
        <f>"1959"</f>
        <v>1959</v>
      </c>
      <c r="BS234" s="5" t="str">
        <f>"50,00"</f>
        <v>50,00</v>
      </c>
      <c r="BT234" s="5" t="str">
        <f>"2019"</f>
        <v>2019</v>
      </c>
      <c r="BU234" s="5" t="str">
        <f t="shared" si="339"/>
        <v>нет</v>
      </c>
      <c r="BV234" s="5" t="str">
        <f t="shared" ref="BV234:BX253" si="394">"x"</f>
        <v>x</v>
      </c>
      <c r="BW234" s="5" t="str">
        <f t="shared" si="394"/>
        <v>x</v>
      </c>
      <c r="BX234" s="5" t="str">
        <f t="shared" si="394"/>
        <v>x</v>
      </c>
      <c r="BY234" s="5" t="str">
        <f t="shared" si="338"/>
        <v>нет</v>
      </c>
      <c r="BZ234" s="5" t="str">
        <f>"1959"</f>
        <v>1959</v>
      </c>
      <c r="CA234" s="5" t="str">
        <f>"47,00"</f>
        <v>47,00</v>
      </c>
      <c r="CB234" s="5" t="str">
        <f>"2019"</f>
        <v>2019</v>
      </c>
      <c r="CC234" s="5" t="str">
        <f>"1959"</f>
        <v>1959</v>
      </c>
      <c r="CD234" s="5" t="str">
        <f>"48,00"</f>
        <v>48,00</v>
      </c>
      <c r="CE234" s="5" t="str">
        <f>"2021"</f>
        <v>2021</v>
      </c>
      <c r="CF234" s="5" t="str">
        <f>"1959"</f>
        <v>1959</v>
      </c>
      <c r="CG234" s="5" t="str">
        <f>"48,00"</f>
        <v>48,00</v>
      </c>
      <c r="CH234" s="5" t="str">
        <f>"2019"</f>
        <v>2019</v>
      </c>
      <c r="CI234" s="5" t="str">
        <f>"48,00"</f>
        <v>48,00</v>
      </c>
      <c r="CJ234" s="5" t="str">
        <f>"2025"</f>
        <v>2025</v>
      </c>
    </row>
    <row r="235" spans="1:88" ht="11.25" customHeight="1">
      <c r="A235" s="3" t="str">
        <f>"1.222"</f>
        <v>1.222</v>
      </c>
      <c r="B235" s="4" t="str">
        <f>"г. Грязовец, ул. Привокзальная, д.11"</f>
        <v>г. Грязовец, ул. Привокзальная, д.11</v>
      </c>
      <c r="C235" s="7" t="str">
        <f>"1994"</f>
        <v>1994</v>
      </c>
      <c r="D235" s="5" t="str">
        <f>"1994"</f>
        <v>1994</v>
      </c>
      <c r="E235" s="5" t="str">
        <f>"7,00"</f>
        <v>7,00</v>
      </c>
      <c r="F235" s="5" t="str">
        <f>"2042"</f>
        <v>2042</v>
      </c>
      <c r="G235" s="5" t="str">
        <f t="shared" si="369"/>
        <v>нет</v>
      </c>
      <c r="H235" s="5" t="str">
        <f>""</f>
        <v/>
      </c>
      <c r="I235" s="5" t="str">
        <f>""</f>
        <v/>
      </c>
      <c r="J235" s="5" t="str">
        <f>""</f>
        <v/>
      </c>
      <c r="K235" s="5" t="str">
        <f t="shared" si="370"/>
        <v>нет</v>
      </c>
      <c r="L235" s="5" t="str">
        <f>""</f>
        <v/>
      </c>
      <c r="M235" s="5" t="str">
        <f>""</f>
        <v/>
      </c>
      <c r="N235" s="5" t="str">
        <f>""</f>
        <v/>
      </c>
      <c r="O235" s="8" t="str">
        <f>"х"</f>
        <v>х</v>
      </c>
      <c r="P235" s="5" t="str">
        <f>"х"</f>
        <v>х</v>
      </c>
      <c r="Q235" s="5" t="str">
        <f>"х"</f>
        <v>х</v>
      </c>
      <c r="R235" s="5" t="str">
        <f t="shared" si="386"/>
        <v>нет</v>
      </c>
      <c r="S235" s="5" t="str">
        <f t="shared" si="372"/>
        <v>х</v>
      </c>
      <c r="T235" s="5" t="str">
        <f t="shared" si="372"/>
        <v>х</v>
      </c>
      <c r="U235" s="5" t="str">
        <f t="shared" si="372"/>
        <v>х</v>
      </c>
      <c r="V235" s="5" t="str">
        <f t="shared" si="387"/>
        <v>нет</v>
      </c>
      <c r="W235" s="5" t="str">
        <f t="shared" si="373"/>
        <v>х</v>
      </c>
      <c r="X235" s="5" t="str">
        <f t="shared" si="373"/>
        <v>х</v>
      </c>
      <c r="Y235" s="9" t="str">
        <f t="shared" si="373"/>
        <v>х</v>
      </c>
      <c r="Z235" s="5" t="str">
        <f>""</f>
        <v/>
      </c>
      <c r="AA235" s="5" t="str">
        <f>"10,00"</f>
        <v>10,00</v>
      </c>
      <c r="AB235" s="5" t="str">
        <f>"2040"</f>
        <v>2040</v>
      </c>
      <c r="AC235" s="5" t="str">
        <f t="shared" si="374"/>
        <v>нет</v>
      </c>
      <c r="AD235" s="5" t="str">
        <f>""</f>
        <v/>
      </c>
      <c r="AE235" s="5" t="str">
        <f>""</f>
        <v/>
      </c>
      <c r="AF235" s="5" t="str">
        <f>""</f>
        <v/>
      </c>
      <c r="AG235" s="5" t="str">
        <f t="shared" si="375"/>
        <v>нет</v>
      </c>
      <c r="AH235" s="5" t="str">
        <f>""</f>
        <v/>
      </c>
      <c r="AI235" s="5" t="str">
        <f>""</f>
        <v/>
      </c>
      <c r="AJ235" s="5" t="str">
        <f>""</f>
        <v/>
      </c>
      <c r="AK235" s="8" t="str">
        <f>"х"</f>
        <v>х</v>
      </c>
      <c r="AL235" s="5" t="str">
        <f>"х"</f>
        <v>х</v>
      </c>
      <c r="AM235" s="5" t="str">
        <f>"х"</f>
        <v>х</v>
      </c>
      <c r="AN235" s="5" t="str">
        <f t="shared" si="388"/>
        <v>нет</v>
      </c>
      <c r="AO235" s="5" t="str">
        <f t="shared" si="376"/>
        <v>х</v>
      </c>
      <c r="AP235" s="5" t="str">
        <f t="shared" si="376"/>
        <v>х</v>
      </c>
      <c r="AQ235" s="5" t="str">
        <f t="shared" si="376"/>
        <v>х</v>
      </c>
      <c r="AR235" s="5" t="str">
        <f t="shared" si="389"/>
        <v>нет</v>
      </c>
      <c r="AS235" s="5" t="str">
        <f t="shared" si="377"/>
        <v>х</v>
      </c>
      <c r="AT235" s="5" t="str">
        <f t="shared" si="377"/>
        <v>х</v>
      </c>
      <c r="AU235" s="5" t="str">
        <f t="shared" si="377"/>
        <v>х</v>
      </c>
      <c r="AV235" s="5" t="str">
        <f>"х"</f>
        <v>х</v>
      </c>
      <c r="AW235" s="5" t="str">
        <f>"х"</f>
        <v>х</v>
      </c>
      <c r="AX235" s="5" t="str">
        <f>"х"</f>
        <v>х</v>
      </c>
      <c r="AY235" s="5" t="str">
        <f t="shared" si="390"/>
        <v>нет</v>
      </c>
      <c r="AZ235" s="5" t="str">
        <f t="shared" si="378"/>
        <v>х</v>
      </c>
      <c r="BA235" s="5" t="str">
        <f t="shared" si="378"/>
        <v>х</v>
      </c>
      <c r="BB235" s="5" t="str">
        <f t="shared" si="378"/>
        <v>х</v>
      </c>
      <c r="BC235" s="5" t="str">
        <f t="shared" si="391"/>
        <v>нет</v>
      </c>
      <c r="BD235" s="5" t="str">
        <f t="shared" si="379"/>
        <v>х</v>
      </c>
      <c r="BE235" s="5" t="str">
        <f t="shared" si="379"/>
        <v>х</v>
      </c>
      <c r="BF235" s="5" t="str">
        <f t="shared" si="379"/>
        <v>х</v>
      </c>
      <c r="BG235" s="5" t="str">
        <f>"х"</f>
        <v>х</v>
      </c>
      <c r="BH235" s="5" t="str">
        <f>"х"</f>
        <v>х</v>
      </c>
      <c r="BI235" s="5" t="str">
        <f>"х"</f>
        <v>х</v>
      </c>
      <c r="BJ235" s="5" t="str">
        <f t="shared" si="392"/>
        <v>нет</v>
      </c>
      <c r="BK235" s="5" t="str">
        <f t="shared" si="380"/>
        <v>х</v>
      </c>
      <c r="BL235" s="5" t="str">
        <f t="shared" si="380"/>
        <v>х</v>
      </c>
      <c r="BM235" s="5" t="str">
        <f t="shared" si="380"/>
        <v>х</v>
      </c>
      <c r="BN235" s="5" t="str">
        <f t="shared" si="393"/>
        <v>нет</v>
      </c>
      <c r="BO235" s="5" t="str">
        <f t="shared" si="381"/>
        <v>х</v>
      </c>
      <c r="BP235" s="5" t="str">
        <f t="shared" si="381"/>
        <v>х</v>
      </c>
      <c r="BQ235" s="5" t="str">
        <f t="shared" si="381"/>
        <v>х</v>
      </c>
      <c r="BR235" s="5" t="str">
        <f>"1994"</f>
        <v>1994</v>
      </c>
      <c r="BS235" s="5" t="str">
        <f>"8,00"</f>
        <v>8,00</v>
      </c>
      <c r="BT235" s="5" t="str">
        <f>"2042"</f>
        <v>2042</v>
      </c>
      <c r="BU235" s="5" t="str">
        <f t="shared" si="339"/>
        <v>нет</v>
      </c>
      <c r="BV235" s="5" t="str">
        <f t="shared" si="394"/>
        <v>x</v>
      </c>
      <c r="BW235" s="5" t="str">
        <f t="shared" si="394"/>
        <v>x</v>
      </c>
      <c r="BX235" s="5" t="str">
        <f t="shared" si="394"/>
        <v>x</v>
      </c>
      <c r="BY235" s="5" t="str">
        <f t="shared" si="338"/>
        <v>нет</v>
      </c>
      <c r="BZ235" s="5" t="str">
        <f>"1994"</f>
        <v>1994</v>
      </c>
      <c r="CA235" s="5" t="str">
        <f>"7,00"</f>
        <v>7,00</v>
      </c>
      <c r="CB235" s="5" t="str">
        <f>"2042"</f>
        <v>2042</v>
      </c>
      <c r="CC235" s="5" t="str">
        <f>"1994"</f>
        <v>1994</v>
      </c>
      <c r="CD235" s="5" t="str">
        <f>"8,00"</f>
        <v>8,00</v>
      </c>
      <c r="CE235" s="5" t="str">
        <f>"2042"</f>
        <v>2042</v>
      </c>
      <c r="CF235" s="5" t="str">
        <f>"1994"</f>
        <v>1994</v>
      </c>
      <c r="CG235" s="5" t="str">
        <f>"8,00"</f>
        <v>8,00</v>
      </c>
      <c r="CH235" s="5" t="str">
        <f>"2042"</f>
        <v>2042</v>
      </c>
      <c r="CI235" s="5" t="str">
        <f>"8,00"</f>
        <v>8,00</v>
      </c>
      <c r="CJ235" s="5" t="str">
        <f>"2044"</f>
        <v>2044</v>
      </c>
    </row>
    <row r="236" spans="1:88" ht="11.25" customHeight="1">
      <c r="A236" s="3" t="str">
        <f>"1.223"</f>
        <v>1.223</v>
      </c>
      <c r="B236" s="4" t="str">
        <f>"г. Грязовец, ул. Привокзальная, д.12"</f>
        <v>г. Грязовец, ул. Привокзальная, д.12</v>
      </c>
      <c r="C236" s="7" t="str">
        <f>"1965"</f>
        <v>1965</v>
      </c>
      <c r="D236" s="5" t="str">
        <f>"1956"</f>
        <v>1956</v>
      </c>
      <c r="E236" s="5" t="str">
        <f>"58,00"</f>
        <v>58,00</v>
      </c>
      <c r="F236" s="5" t="str">
        <f>"2023"</f>
        <v>2023</v>
      </c>
      <c r="G236" s="5" t="str">
        <f t="shared" si="369"/>
        <v>нет</v>
      </c>
      <c r="H236" s="5" t="str">
        <f>""</f>
        <v/>
      </c>
      <c r="I236" s="5" t="str">
        <f>""</f>
        <v/>
      </c>
      <c r="J236" s="5" t="str">
        <f>""</f>
        <v/>
      </c>
      <c r="K236" s="5" t="str">
        <f t="shared" si="370"/>
        <v>нет</v>
      </c>
      <c r="L236" s="5" t="str">
        <f>""</f>
        <v/>
      </c>
      <c r="M236" s="5" t="str">
        <f>""</f>
        <v/>
      </c>
      <c r="N236" s="5" t="str">
        <f>""</f>
        <v/>
      </c>
      <c r="O236" s="8" t="str">
        <f>"1956"</f>
        <v>1956</v>
      </c>
      <c r="P236" s="5" t="str">
        <f>"56,00"</f>
        <v>56,00</v>
      </c>
      <c r="Q236" s="5" t="str">
        <f>"2023"</f>
        <v>2023</v>
      </c>
      <c r="R236" s="5" t="str">
        <f t="shared" si="386"/>
        <v>нет</v>
      </c>
      <c r="S236" s="5" t="str">
        <f t="shared" si="372"/>
        <v>х</v>
      </c>
      <c r="T236" s="5" t="str">
        <f t="shared" si="372"/>
        <v>х</v>
      </c>
      <c r="U236" s="5" t="str">
        <f t="shared" si="372"/>
        <v>х</v>
      </c>
      <c r="V236" s="5" t="str">
        <f t="shared" si="387"/>
        <v>нет</v>
      </c>
      <c r="W236" s="5" t="str">
        <f t="shared" si="373"/>
        <v>х</v>
      </c>
      <c r="X236" s="5" t="str">
        <f t="shared" si="373"/>
        <v>х</v>
      </c>
      <c r="Y236" s="9" t="str">
        <f t="shared" si="373"/>
        <v>х</v>
      </c>
      <c r="Z236" s="5" t="str">
        <f>"1956"</f>
        <v>1956</v>
      </c>
      <c r="AA236" s="5" t="str">
        <f>"48,00"</f>
        <v>48,00</v>
      </c>
      <c r="AB236" s="5" t="str">
        <f>"2024"</f>
        <v>2024</v>
      </c>
      <c r="AC236" s="5" t="str">
        <f t="shared" si="374"/>
        <v>нет</v>
      </c>
      <c r="AD236" s="5" t="str">
        <f>"х"</f>
        <v>х</v>
      </c>
      <c r="AE236" s="5" t="str">
        <f>"х"</f>
        <v>х</v>
      </c>
      <c r="AF236" s="5" t="str">
        <f>"х"</f>
        <v>х</v>
      </c>
      <c r="AG236" s="5" t="str">
        <f t="shared" si="375"/>
        <v>нет</v>
      </c>
      <c r="AH236" s="5" t="str">
        <f>"х"</f>
        <v>х</v>
      </c>
      <c r="AI236" s="5" t="str">
        <f>"х"</f>
        <v>х</v>
      </c>
      <c r="AJ236" s="5" t="str">
        <f>"х"</f>
        <v>х</v>
      </c>
      <c r="AK236" s="8" t="str">
        <f>"1956"</f>
        <v>1956</v>
      </c>
      <c r="AL236" s="5" t="str">
        <f>"49,00"</f>
        <v>49,00</v>
      </c>
      <c r="AM236" s="5" t="str">
        <f>"2024"</f>
        <v>2024</v>
      </c>
      <c r="AN236" s="5" t="str">
        <f t="shared" si="388"/>
        <v>нет</v>
      </c>
      <c r="AO236" s="5" t="str">
        <f t="shared" si="376"/>
        <v>х</v>
      </c>
      <c r="AP236" s="5" t="str">
        <f t="shared" si="376"/>
        <v>х</v>
      </c>
      <c r="AQ236" s="5" t="str">
        <f t="shared" si="376"/>
        <v>х</v>
      </c>
      <c r="AR236" s="5" t="str">
        <f t="shared" si="389"/>
        <v>нет</v>
      </c>
      <c r="AS236" s="5" t="str">
        <f t="shared" si="377"/>
        <v>х</v>
      </c>
      <c r="AT236" s="5" t="str">
        <f t="shared" si="377"/>
        <v>х</v>
      </c>
      <c r="AU236" s="5" t="str">
        <f t="shared" si="377"/>
        <v>х</v>
      </c>
      <c r="AV236" s="5" t="str">
        <f>"1956"</f>
        <v>1956</v>
      </c>
      <c r="AW236" s="5" t="str">
        <f>"46,00"</f>
        <v>46,00</v>
      </c>
      <c r="AX236" s="5" t="str">
        <f>"2023"</f>
        <v>2023</v>
      </c>
      <c r="AY236" s="5" t="str">
        <f t="shared" si="390"/>
        <v>нет</v>
      </c>
      <c r="AZ236" s="5" t="str">
        <f t="shared" si="378"/>
        <v>х</v>
      </c>
      <c r="BA236" s="5" t="str">
        <f t="shared" si="378"/>
        <v>х</v>
      </c>
      <c r="BB236" s="5" t="str">
        <f t="shared" si="378"/>
        <v>х</v>
      </c>
      <c r="BC236" s="5" t="str">
        <f t="shared" si="391"/>
        <v>нет</v>
      </c>
      <c r="BD236" s="5" t="str">
        <f t="shared" si="379"/>
        <v>х</v>
      </c>
      <c r="BE236" s="5" t="str">
        <f t="shared" si="379"/>
        <v>х</v>
      </c>
      <c r="BF236" s="5" t="str">
        <f t="shared" si="379"/>
        <v>х</v>
      </c>
      <c r="BG236" s="5" t="str">
        <f>"1956"</f>
        <v>1956</v>
      </c>
      <c r="BH236" s="5" t="str">
        <f>"59,00"</f>
        <v>59,00</v>
      </c>
      <c r="BI236" s="5" t="str">
        <f>"2022"</f>
        <v>2022</v>
      </c>
      <c r="BJ236" s="5" t="str">
        <f t="shared" si="392"/>
        <v>нет</v>
      </c>
      <c r="BK236" s="5" t="str">
        <f t="shared" si="380"/>
        <v>х</v>
      </c>
      <c r="BL236" s="5" t="str">
        <f t="shared" si="380"/>
        <v>х</v>
      </c>
      <c r="BM236" s="5" t="str">
        <f t="shared" si="380"/>
        <v>х</v>
      </c>
      <c r="BN236" s="5" t="str">
        <f t="shared" si="393"/>
        <v>нет</v>
      </c>
      <c r="BO236" s="5" t="str">
        <f t="shared" si="381"/>
        <v>х</v>
      </c>
      <c r="BP236" s="5" t="str">
        <f t="shared" si="381"/>
        <v>х</v>
      </c>
      <c r="BQ236" s="5" t="str">
        <f t="shared" si="381"/>
        <v>х</v>
      </c>
      <c r="BR236" s="5" t="str">
        <f>"1956"</f>
        <v>1956</v>
      </c>
      <c r="BS236" s="5" t="str">
        <f>"63,00"</f>
        <v>63,00</v>
      </c>
      <c r="BT236" s="5" t="str">
        <f>"2022"</f>
        <v>2022</v>
      </c>
      <c r="BU236" s="5" t="str">
        <f t="shared" si="339"/>
        <v>нет</v>
      </c>
      <c r="BV236" s="5" t="str">
        <f t="shared" si="394"/>
        <v>x</v>
      </c>
      <c r="BW236" s="5" t="str">
        <f t="shared" si="394"/>
        <v>x</v>
      </c>
      <c r="BX236" s="5" t="str">
        <f t="shared" si="394"/>
        <v>x</v>
      </c>
      <c r="BY236" s="5" t="str">
        <f t="shared" si="338"/>
        <v>нет</v>
      </c>
      <c r="BZ236" s="5" t="str">
        <f>"1956"</f>
        <v>1956</v>
      </c>
      <c r="CA236" s="5" t="str">
        <f>"63,00"</f>
        <v>63,00</v>
      </c>
      <c r="CB236" s="5" t="str">
        <f>"2019"</f>
        <v>2019</v>
      </c>
      <c r="CC236" s="5" t="str">
        <f>"1956"</f>
        <v>1956</v>
      </c>
      <c r="CD236" s="5" t="str">
        <f>"62,00"</f>
        <v>62,00</v>
      </c>
      <c r="CE236" s="5" t="str">
        <f>"2019"</f>
        <v>2019</v>
      </c>
      <c r="CF236" s="5" t="str">
        <f>"1956"</f>
        <v>1956</v>
      </c>
      <c r="CG236" s="5" t="str">
        <f>"64,00"</f>
        <v>64,00</v>
      </c>
      <c r="CH236" s="5" t="str">
        <f>"2019"</f>
        <v>2019</v>
      </c>
      <c r="CI236" s="5" t="str">
        <f>"63,00"</f>
        <v>63,00</v>
      </c>
      <c r="CJ236" s="5" t="str">
        <f>"2024"</f>
        <v>2024</v>
      </c>
    </row>
    <row r="237" spans="1:88" ht="11.25" customHeight="1">
      <c r="A237" s="3" t="str">
        <f>"1.224"</f>
        <v>1.224</v>
      </c>
      <c r="B237" s="4" t="str">
        <f>"г. Грязовец, ул. Привокзальная, д.13"</f>
        <v>г. Грязовец, ул. Привокзальная, д.13</v>
      </c>
      <c r="C237" s="7" t="str">
        <f>"1960"</f>
        <v>1960</v>
      </c>
      <c r="D237" s="5" t="str">
        <f>"1960"</f>
        <v>1960</v>
      </c>
      <c r="E237" s="5" t="str">
        <f>"18,00"</f>
        <v>18,00</v>
      </c>
      <c r="F237" s="5" t="str">
        <f>"2033"</f>
        <v>2033</v>
      </c>
      <c r="G237" s="5" t="str">
        <f t="shared" si="369"/>
        <v>нет</v>
      </c>
      <c r="H237" s="5" t="str">
        <f>""</f>
        <v/>
      </c>
      <c r="I237" s="5" t="str">
        <f>""</f>
        <v/>
      </c>
      <c r="J237" s="5" t="str">
        <f>""</f>
        <v/>
      </c>
      <c r="K237" s="5" t="str">
        <f t="shared" si="370"/>
        <v>нет</v>
      </c>
      <c r="L237" s="5" t="str">
        <f>""</f>
        <v/>
      </c>
      <c r="M237" s="5" t="str">
        <f>""</f>
        <v/>
      </c>
      <c r="N237" s="5" t="str">
        <f>""</f>
        <v/>
      </c>
      <c r="O237" s="8" t="str">
        <f>"1960"</f>
        <v>1960</v>
      </c>
      <c r="P237" s="5" t="str">
        <f>"17,00"</f>
        <v>17,00</v>
      </c>
      <c r="Q237" s="5" t="str">
        <f>"2033"</f>
        <v>2033</v>
      </c>
      <c r="R237" s="5" t="str">
        <f t="shared" si="386"/>
        <v>нет</v>
      </c>
      <c r="S237" s="5" t="str">
        <f t="shared" si="372"/>
        <v>х</v>
      </c>
      <c r="T237" s="5" t="str">
        <f t="shared" si="372"/>
        <v>х</v>
      </c>
      <c r="U237" s="5" t="str">
        <f t="shared" si="372"/>
        <v>х</v>
      </c>
      <c r="V237" s="5" t="str">
        <f t="shared" si="387"/>
        <v>нет</v>
      </c>
      <c r="W237" s="5" t="str">
        <f t="shared" si="373"/>
        <v>х</v>
      </c>
      <c r="X237" s="5" t="str">
        <f t="shared" si="373"/>
        <v>х</v>
      </c>
      <c r="Y237" s="9" t="str">
        <f t="shared" si="373"/>
        <v>х</v>
      </c>
      <c r="Z237" s="5" t="str">
        <f>"1960"</f>
        <v>1960</v>
      </c>
      <c r="AA237" s="5" t="str">
        <f>"16,00"</f>
        <v>16,00</v>
      </c>
      <c r="AB237" s="5" t="str">
        <f>"2034"</f>
        <v>2034</v>
      </c>
      <c r="AC237" s="5" t="str">
        <f t="shared" si="374"/>
        <v>нет</v>
      </c>
      <c r="AD237" s="5" t="str">
        <f>""</f>
        <v/>
      </c>
      <c r="AE237" s="5" t="str">
        <f>""</f>
        <v/>
      </c>
      <c r="AF237" s="5" t="str">
        <f>""</f>
        <v/>
      </c>
      <c r="AG237" s="5" t="str">
        <f t="shared" si="375"/>
        <v>нет</v>
      </c>
      <c r="AH237" s="5" t="str">
        <f>""</f>
        <v/>
      </c>
      <c r="AI237" s="5" t="str">
        <f>""</f>
        <v/>
      </c>
      <c r="AJ237" s="5" t="str">
        <f>""</f>
        <v/>
      </c>
      <c r="AK237" s="8" t="str">
        <f>"1960"</f>
        <v>1960</v>
      </c>
      <c r="AL237" s="5" t="str">
        <f>"19,00"</f>
        <v>19,00</v>
      </c>
      <c r="AM237" s="5" t="str">
        <f>"2033"</f>
        <v>2033</v>
      </c>
      <c r="AN237" s="5" t="str">
        <f t="shared" si="388"/>
        <v>нет</v>
      </c>
      <c r="AO237" s="5" t="str">
        <f t="shared" si="376"/>
        <v>х</v>
      </c>
      <c r="AP237" s="5" t="str">
        <f t="shared" si="376"/>
        <v>х</v>
      </c>
      <c r="AQ237" s="5" t="str">
        <f t="shared" si="376"/>
        <v>х</v>
      </c>
      <c r="AR237" s="5" t="str">
        <f t="shared" si="389"/>
        <v>нет</v>
      </c>
      <c r="AS237" s="5" t="str">
        <f t="shared" si="377"/>
        <v>х</v>
      </c>
      <c r="AT237" s="5" t="str">
        <f t="shared" si="377"/>
        <v>х</v>
      </c>
      <c r="AU237" s="5" t="str">
        <f t="shared" si="377"/>
        <v>х</v>
      </c>
      <c r="AV237" s="5" t="str">
        <f>"1960"</f>
        <v>1960</v>
      </c>
      <c r="AW237" s="5" t="str">
        <f>"18,00"</f>
        <v>18,00</v>
      </c>
      <c r="AX237" s="5" t="str">
        <f>"2033"</f>
        <v>2033</v>
      </c>
      <c r="AY237" s="5" t="str">
        <f t="shared" si="390"/>
        <v>нет</v>
      </c>
      <c r="AZ237" s="5" t="str">
        <f t="shared" si="378"/>
        <v>х</v>
      </c>
      <c r="BA237" s="5" t="str">
        <f t="shared" si="378"/>
        <v>х</v>
      </c>
      <c r="BB237" s="5" t="str">
        <f t="shared" si="378"/>
        <v>х</v>
      </c>
      <c r="BC237" s="5" t="str">
        <f t="shared" si="391"/>
        <v>нет</v>
      </c>
      <c r="BD237" s="5" t="str">
        <f t="shared" si="379"/>
        <v>х</v>
      </c>
      <c r="BE237" s="5" t="str">
        <f t="shared" si="379"/>
        <v>х</v>
      </c>
      <c r="BF237" s="5" t="str">
        <f t="shared" si="379"/>
        <v>х</v>
      </c>
      <c r="BG237" s="5" t="str">
        <f>"1960"</f>
        <v>1960</v>
      </c>
      <c r="BH237" s="5" t="str">
        <f>"24,00"</f>
        <v>24,00</v>
      </c>
      <c r="BI237" s="5" t="str">
        <f>"2033"</f>
        <v>2033</v>
      </c>
      <c r="BJ237" s="5" t="str">
        <f t="shared" si="392"/>
        <v>нет</v>
      </c>
      <c r="BK237" s="5" t="str">
        <f t="shared" si="380"/>
        <v>х</v>
      </c>
      <c r="BL237" s="5" t="str">
        <f t="shared" si="380"/>
        <v>х</v>
      </c>
      <c r="BM237" s="5" t="str">
        <f t="shared" si="380"/>
        <v>х</v>
      </c>
      <c r="BN237" s="5" t="str">
        <f t="shared" si="393"/>
        <v>нет</v>
      </c>
      <c r="BO237" s="5" t="str">
        <f t="shared" si="381"/>
        <v>х</v>
      </c>
      <c r="BP237" s="5" t="str">
        <f t="shared" si="381"/>
        <v>х</v>
      </c>
      <c r="BQ237" s="5" t="str">
        <f t="shared" si="381"/>
        <v>х</v>
      </c>
      <c r="BR237" s="5" t="str">
        <f>"1960"</f>
        <v>1960</v>
      </c>
      <c r="BS237" s="5" t="str">
        <f>"26,00"</f>
        <v>26,00</v>
      </c>
      <c r="BT237" s="5" t="str">
        <f>"2032"</f>
        <v>2032</v>
      </c>
      <c r="BU237" s="5" t="str">
        <f t="shared" si="339"/>
        <v>нет</v>
      </c>
      <c r="BV237" s="5" t="str">
        <f t="shared" si="394"/>
        <v>x</v>
      </c>
      <c r="BW237" s="5" t="str">
        <f t="shared" si="394"/>
        <v>x</v>
      </c>
      <c r="BX237" s="5" t="str">
        <f t="shared" si="394"/>
        <v>x</v>
      </c>
      <c r="BY237" s="5" t="str">
        <f t="shared" ref="BY237:BY268" si="395">"нет"</f>
        <v>нет</v>
      </c>
      <c r="BZ237" s="5" t="str">
        <f>"1960"</f>
        <v>1960</v>
      </c>
      <c r="CA237" s="5" t="str">
        <f>"25,00"</f>
        <v>25,00</v>
      </c>
      <c r="CB237" s="5" t="str">
        <f>"2033"</f>
        <v>2033</v>
      </c>
      <c r="CC237" s="5" t="str">
        <f>"1960"</f>
        <v>1960</v>
      </c>
      <c r="CD237" s="5" t="str">
        <f>"24,00"</f>
        <v>24,00</v>
      </c>
      <c r="CE237" s="5" t="str">
        <f>"2032"</f>
        <v>2032</v>
      </c>
      <c r="CF237" s="5" t="str">
        <f>"1960"</f>
        <v>1960</v>
      </c>
      <c r="CG237" s="5" t="str">
        <f>"26,00"</f>
        <v>26,00</v>
      </c>
      <c r="CH237" s="5" t="str">
        <f>"2034"</f>
        <v>2034</v>
      </c>
      <c r="CI237" s="5" t="str">
        <f>"26,00"</f>
        <v>26,00</v>
      </c>
      <c r="CJ237" s="5" t="str">
        <f>"2035"</f>
        <v>2035</v>
      </c>
    </row>
    <row r="238" spans="1:88" ht="11.25" customHeight="1">
      <c r="A238" s="3" t="str">
        <f>"1.225"</f>
        <v>1.225</v>
      </c>
      <c r="B238" s="4" t="str">
        <f>"г. Грязовец, ул. Привокзальная, д.15"</f>
        <v>г. Грязовец, ул. Привокзальная, д.15</v>
      </c>
      <c r="C238" s="7" t="str">
        <f>"1993"</f>
        <v>1993</v>
      </c>
      <c r="D238" s="5" t="str">
        <f>"1993"</f>
        <v>1993</v>
      </c>
      <c r="E238" s="5" t="str">
        <f>"57,00"</f>
        <v>57,00</v>
      </c>
      <c r="F238" s="5" t="str">
        <f>"2024"</f>
        <v>2024</v>
      </c>
      <c r="G238" s="5" t="str">
        <f t="shared" si="369"/>
        <v>нет</v>
      </c>
      <c r="H238" s="5" t="str">
        <f>""</f>
        <v/>
      </c>
      <c r="I238" s="5" t="str">
        <f>""</f>
        <v/>
      </c>
      <c r="J238" s="5" t="str">
        <f>""</f>
        <v/>
      </c>
      <c r="K238" s="5" t="str">
        <f t="shared" si="370"/>
        <v>нет</v>
      </c>
      <c r="L238" s="5" t="str">
        <f>""</f>
        <v/>
      </c>
      <c r="M238" s="5" t="str">
        <f>""</f>
        <v/>
      </c>
      <c r="N238" s="5" t="str">
        <f>""</f>
        <v/>
      </c>
      <c r="O238" s="8" t="str">
        <f>"1993"</f>
        <v>1993</v>
      </c>
      <c r="P238" s="5" t="str">
        <f>"55,00"</f>
        <v>55,00</v>
      </c>
      <c r="Q238" s="5" t="str">
        <f>"2023"</f>
        <v>2023</v>
      </c>
      <c r="R238" s="5" t="str">
        <f t="shared" si="386"/>
        <v>нет</v>
      </c>
      <c r="S238" s="5" t="str">
        <f t="shared" si="372"/>
        <v>х</v>
      </c>
      <c r="T238" s="5" t="str">
        <f t="shared" si="372"/>
        <v>х</v>
      </c>
      <c r="U238" s="5" t="str">
        <f t="shared" si="372"/>
        <v>х</v>
      </c>
      <c r="V238" s="5" t="str">
        <f t="shared" si="387"/>
        <v>нет</v>
      </c>
      <c r="W238" s="5" t="str">
        <f t="shared" si="373"/>
        <v>х</v>
      </c>
      <c r="X238" s="5" t="str">
        <f t="shared" si="373"/>
        <v>х</v>
      </c>
      <c r="Y238" s="9" t="str">
        <f t="shared" si="373"/>
        <v>х</v>
      </c>
      <c r="Z238" s="5" t="str">
        <f>"1993"</f>
        <v>1993</v>
      </c>
      <c r="AA238" s="5" t="str">
        <f>"47,00"</f>
        <v>47,00</v>
      </c>
      <c r="AB238" s="5" t="str">
        <f>"2024"</f>
        <v>2024</v>
      </c>
      <c r="AC238" s="5" t="str">
        <f t="shared" si="374"/>
        <v>нет</v>
      </c>
      <c r="AD238" s="5" t="str">
        <f>"х"</f>
        <v>х</v>
      </c>
      <c r="AE238" s="5" t="str">
        <f>"х"</f>
        <v>х</v>
      </c>
      <c r="AF238" s="5" t="str">
        <f>"х"</f>
        <v>х</v>
      </c>
      <c r="AG238" s="5" t="str">
        <f t="shared" si="375"/>
        <v>нет</v>
      </c>
      <c r="AH238" s="5" t="str">
        <f>"х"</f>
        <v>х</v>
      </c>
      <c r="AI238" s="5" t="str">
        <f>"х"</f>
        <v>х</v>
      </c>
      <c r="AJ238" s="5" t="str">
        <f>"х"</f>
        <v>х</v>
      </c>
      <c r="AK238" s="8" t="str">
        <f>"1993"</f>
        <v>1993</v>
      </c>
      <c r="AL238" s="5" t="str">
        <f>"44,00"</f>
        <v>44,00</v>
      </c>
      <c r="AM238" s="5" t="str">
        <f>"2023"</f>
        <v>2023</v>
      </c>
      <c r="AN238" s="5" t="str">
        <f t="shared" si="388"/>
        <v>нет</v>
      </c>
      <c r="AO238" s="5" t="str">
        <f t="shared" si="376"/>
        <v>х</v>
      </c>
      <c r="AP238" s="5" t="str">
        <f t="shared" si="376"/>
        <v>х</v>
      </c>
      <c r="AQ238" s="5" t="str">
        <f t="shared" si="376"/>
        <v>х</v>
      </c>
      <c r="AR238" s="5" t="str">
        <f t="shared" si="389"/>
        <v>нет</v>
      </c>
      <c r="AS238" s="5" t="str">
        <f t="shared" si="377"/>
        <v>х</v>
      </c>
      <c r="AT238" s="5" t="str">
        <f t="shared" si="377"/>
        <v>х</v>
      </c>
      <c r="AU238" s="5" t="str">
        <f t="shared" si="377"/>
        <v>х</v>
      </c>
      <c r="AV238" s="5" t="str">
        <f>"1993"</f>
        <v>1993</v>
      </c>
      <c r="AW238" s="5" t="str">
        <f>"48,00"</f>
        <v>48,00</v>
      </c>
      <c r="AX238" s="5" t="str">
        <f>"2023"</f>
        <v>2023</v>
      </c>
      <c r="AY238" s="5" t="str">
        <f t="shared" si="390"/>
        <v>нет</v>
      </c>
      <c r="AZ238" s="5" t="str">
        <f t="shared" si="378"/>
        <v>х</v>
      </c>
      <c r="BA238" s="5" t="str">
        <f t="shared" si="378"/>
        <v>х</v>
      </c>
      <c r="BB238" s="5" t="str">
        <f t="shared" si="378"/>
        <v>х</v>
      </c>
      <c r="BC238" s="5" t="str">
        <f t="shared" si="391"/>
        <v>нет</v>
      </c>
      <c r="BD238" s="5" t="str">
        <f t="shared" si="379"/>
        <v>х</v>
      </c>
      <c r="BE238" s="5" t="str">
        <f t="shared" si="379"/>
        <v>х</v>
      </c>
      <c r="BF238" s="5" t="str">
        <f t="shared" si="379"/>
        <v>х</v>
      </c>
      <c r="BG238" s="5" t="str">
        <f>"1993"</f>
        <v>1993</v>
      </c>
      <c r="BH238" s="5" t="str">
        <f>"59,00"</f>
        <v>59,00</v>
      </c>
      <c r="BI238" s="5" t="str">
        <f>"2020"</f>
        <v>2020</v>
      </c>
      <c r="BJ238" s="5" t="str">
        <f t="shared" si="392"/>
        <v>нет</v>
      </c>
      <c r="BK238" s="5" t="str">
        <f t="shared" si="380"/>
        <v>х</v>
      </c>
      <c r="BL238" s="5" t="str">
        <f t="shared" si="380"/>
        <v>х</v>
      </c>
      <c r="BM238" s="5" t="str">
        <f t="shared" si="380"/>
        <v>х</v>
      </c>
      <c r="BN238" s="5" t="str">
        <f t="shared" si="393"/>
        <v>нет</v>
      </c>
      <c r="BO238" s="5" t="str">
        <f t="shared" si="381"/>
        <v>х</v>
      </c>
      <c r="BP238" s="5" t="str">
        <f t="shared" si="381"/>
        <v>х</v>
      </c>
      <c r="BQ238" s="5" t="str">
        <f t="shared" si="381"/>
        <v>х</v>
      </c>
      <c r="BR238" s="5" t="str">
        <f>"1993"</f>
        <v>1993</v>
      </c>
      <c r="BS238" s="5" t="str">
        <f>"62,00"</f>
        <v>62,00</v>
      </c>
      <c r="BT238" s="5" t="str">
        <f>"2019"</f>
        <v>2019</v>
      </c>
      <c r="BU238" s="5" t="str">
        <f t="shared" si="339"/>
        <v>нет</v>
      </c>
      <c r="BV238" s="5" t="str">
        <f t="shared" si="394"/>
        <v>x</v>
      </c>
      <c r="BW238" s="5" t="str">
        <f t="shared" si="394"/>
        <v>x</v>
      </c>
      <c r="BX238" s="5" t="str">
        <f t="shared" si="394"/>
        <v>x</v>
      </c>
      <c r="BY238" s="5" t="str">
        <f t="shared" si="395"/>
        <v>нет</v>
      </c>
      <c r="BZ238" s="5" t="str">
        <f>"1993"</f>
        <v>1993</v>
      </c>
      <c r="CA238" s="5" t="str">
        <f>"61,00"</f>
        <v>61,00</v>
      </c>
      <c r="CB238" s="5" t="str">
        <f>"2019"</f>
        <v>2019</v>
      </c>
      <c r="CC238" s="5" t="str">
        <f>"1993"</f>
        <v>1993</v>
      </c>
      <c r="CD238" s="5" t="str">
        <f>"60,00"</f>
        <v>60,00</v>
      </c>
      <c r="CE238" s="5" t="str">
        <f>"2020"</f>
        <v>2020</v>
      </c>
      <c r="CF238" s="5" t="str">
        <f>"1993"</f>
        <v>1993</v>
      </c>
      <c r="CG238" s="5" t="str">
        <f>"61,00"</f>
        <v>61,00</v>
      </c>
      <c r="CH238" s="5" t="str">
        <f>"2019"</f>
        <v>2019</v>
      </c>
      <c r="CI238" s="5" t="str">
        <f>"61,00"</f>
        <v>61,00</v>
      </c>
      <c r="CJ238" s="5" t="str">
        <f>"2025"</f>
        <v>2025</v>
      </c>
    </row>
    <row r="239" spans="1:88" ht="11.25" customHeight="1">
      <c r="A239" s="3" t="str">
        <f>"1.226"</f>
        <v>1.226</v>
      </c>
      <c r="B239" s="4" t="str">
        <f>"г. Грязовец, ул. Привокзальная, д.17"</f>
        <v>г. Грязовец, ул. Привокзальная, д.17</v>
      </c>
      <c r="C239" s="7" t="str">
        <f>"1961"</f>
        <v>1961</v>
      </c>
      <c r="D239" s="5" t="str">
        <f>"1961"</f>
        <v>1961</v>
      </c>
      <c r="E239" s="5" t="str">
        <f>"9,00"</f>
        <v>9,00</v>
      </c>
      <c r="F239" s="5" t="str">
        <f>"2040"</f>
        <v>2040</v>
      </c>
      <c r="G239" s="5" t="str">
        <f t="shared" si="369"/>
        <v>нет</v>
      </c>
      <c r="H239" s="5" t="str">
        <f>""</f>
        <v/>
      </c>
      <c r="I239" s="5" t="str">
        <f>""</f>
        <v/>
      </c>
      <c r="J239" s="5" t="str">
        <f>""</f>
        <v/>
      </c>
      <c r="K239" s="5" t="str">
        <f t="shared" si="370"/>
        <v>нет</v>
      </c>
      <c r="L239" s="5" t="str">
        <f>""</f>
        <v/>
      </c>
      <c r="M239" s="5" t="str">
        <f>""</f>
        <v/>
      </c>
      <c r="N239" s="5" t="str">
        <f>""</f>
        <v/>
      </c>
      <c r="O239" s="8" t="str">
        <f>"1961"</f>
        <v>1961</v>
      </c>
      <c r="P239" s="5" t="str">
        <f>"10,00"</f>
        <v>10,00</v>
      </c>
      <c r="Q239" s="5" t="str">
        <f>"2040"</f>
        <v>2040</v>
      </c>
      <c r="R239" s="5" t="str">
        <f t="shared" si="386"/>
        <v>нет</v>
      </c>
      <c r="S239" s="5" t="str">
        <f t="shared" si="372"/>
        <v>х</v>
      </c>
      <c r="T239" s="5" t="str">
        <f t="shared" si="372"/>
        <v>х</v>
      </c>
      <c r="U239" s="5" t="str">
        <f t="shared" si="372"/>
        <v>х</v>
      </c>
      <c r="V239" s="5" t="str">
        <f t="shared" si="387"/>
        <v>нет</v>
      </c>
      <c r="W239" s="5" t="str">
        <f t="shared" si="373"/>
        <v>х</v>
      </c>
      <c r="X239" s="5" t="str">
        <f t="shared" si="373"/>
        <v>х</v>
      </c>
      <c r="Y239" s="9" t="str">
        <f t="shared" si="373"/>
        <v>х</v>
      </c>
      <c r="Z239" s="5" t="str">
        <f>"1961"</f>
        <v>1961</v>
      </c>
      <c r="AA239" s="5" t="str">
        <f>"7,00"</f>
        <v>7,00</v>
      </c>
      <c r="AB239" s="5" t="str">
        <f>"2040"</f>
        <v>2040</v>
      </c>
      <c r="AC239" s="5" t="str">
        <f t="shared" si="374"/>
        <v>нет</v>
      </c>
      <c r="AD239" s="5" t="str">
        <f>""</f>
        <v/>
      </c>
      <c r="AE239" s="5" t="str">
        <f>""</f>
        <v/>
      </c>
      <c r="AF239" s="5" t="str">
        <f>""</f>
        <v/>
      </c>
      <c r="AG239" s="5" t="str">
        <f t="shared" si="375"/>
        <v>нет</v>
      </c>
      <c r="AH239" s="5" t="str">
        <f>""</f>
        <v/>
      </c>
      <c r="AI239" s="5" t="str">
        <f>""</f>
        <v/>
      </c>
      <c r="AJ239" s="5" t="str">
        <f>""</f>
        <v/>
      </c>
      <c r="AK239" s="8" t="str">
        <f>"1961"</f>
        <v>1961</v>
      </c>
      <c r="AL239" s="5" t="str">
        <f>"11,00"</f>
        <v>11,00</v>
      </c>
      <c r="AM239" s="5" t="str">
        <f>"2039"</f>
        <v>2039</v>
      </c>
      <c r="AN239" s="5" t="str">
        <f t="shared" si="388"/>
        <v>нет</v>
      </c>
      <c r="AO239" s="5" t="str">
        <f t="shared" si="376"/>
        <v>х</v>
      </c>
      <c r="AP239" s="5" t="str">
        <f t="shared" si="376"/>
        <v>х</v>
      </c>
      <c r="AQ239" s="5" t="str">
        <f t="shared" si="376"/>
        <v>х</v>
      </c>
      <c r="AR239" s="5" t="str">
        <f t="shared" si="389"/>
        <v>нет</v>
      </c>
      <c r="AS239" s="5" t="str">
        <f t="shared" si="377"/>
        <v>х</v>
      </c>
      <c r="AT239" s="5" t="str">
        <f t="shared" si="377"/>
        <v>х</v>
      </c>
      <c r="AU239" s="5" t="str">
        <f t="shared" si="377"/>
        <v>х</v>
      </c>
      <c r="AV239" s="5" t="str">
        <f>"1961"</f>
        <v>1961</v>
      </c>
      <c r="AW239" s="5" t="str">
        <f>"11,00"</f>
        <v>11,00</v>
      </c>
      <c r="AX239" s="5" t="str">
        <f>"2039"</f>
        <v>2039</v>
      </c>
      <c r="AY239" s="5" t="str">
        <f t="shared" si="390"/>
        <v>нет</v>
      </c>
      <c r="AZ239" s="5" t="str">
        <f t="shared" si="378"/>
        <v>х</v>
      </c>
      <c r="BA239" s="5" t="str">
        <f t="shared" si="378"/>
        <v>х</v>
      </c>
      <c r="BB239" s="5" t="str">
        <f t="shared" si="378"/>
        <v>х</v>
      </c>
      <c r="BC239" s="5" t="str">
        <f t="shared" si="391"/>
        <v>нет</v>
      </c>
      <c r="BD239" s="5" t="str">
        <f t="shared" si="379"/>
        <v>х</v>
      </c>
      <c r="BE239" s="5" t="str">
        <f t="shared" si="379"/>
        <v>х</v>
      </c>
      <c r="BF239" s="5" t="str">
        <f t="shared" si="379"/>
        <v>х</v>
      </c>
      <c r="BG239" s="5" t="str">
        <f>"1961"</f>
        <v>1961</v>
      </c>
      <c r="BH239" s="5" t="str">
        <f>"13,00"</f>
        <v>13,00</v>
      </c>
      <c r="BI239" s="5" t="str">
        <f>"2039"</f>
        <v>2039</v>
      </c>
      <c r="BJ239" s="5" t="str">
        <f t="shared" si="392"/>
        <v>нет</v>
      </c>
      <c r="BK239" s="5" t="str">
        <f t="shared" si="380"/>
        <v>х</v>
      </c>
      <c r="BL239" s="5" t="str">
        <f t="shared" si="380"/>
        <v>х</v>
      </c>
      <c r="BM239" s="5" t="str">
        <f t="shared" si="380"/>
        <v>х</v>
      </c>
      <c r="BN239" s="5" t="str">
        <f t="shared" si="393"/>
        <v>нет</v>
      </c>
      <c r="BO239" s="5" t="str">
        <f t="shared" si="381"/>
        <v>х</v>
      </c>
      <c r="BP239" s="5" t="str">
        <f t="shared" si="381"/>
        <v>х</v>
      </c>
      <c r="BQ239" s="5" t="str">
        <f t="shared" si="381"/>
        <v>х</v>
      </c>
      <c r="BR239" s="5" t="str">
        <f>"1961"</f>
        <v>1961</v>
      </c>
      <c r="BS239" s="5" t="str">
        <f>"17,00"</f>
        <v>17,00</v>
      </c>
      <c r="BT239" s="5" t="str">
        <f>"2035"</f>
        <v>2035</v>
      </c>
      <c r="BU239" s="5" t="str">
        <f t="shared" si="339"/>
        <v>нет</v>
      </c>
      <c r="BV239" s="5" t="str">
        <f t="shared" si="394"/>
        <v>x</v>
      </c>
      <c r="BW239" s="5" t="str">
        <f t="shared" si="394"/>
        <v>x</v>
      </c>
      <c r="BX239" s="5" t="str">
        <f t="shared" si="394"/>
        <v>x</v>
      </c>
      <c r="BY239" s="5" t="str">
        <f t="shared" si="395"/>
        <v>нет</v>
      </c>
      <c r="BZ239" s="5" t="str">
        <f>"1961"</f>
        <v>1961</v>
      </c>
      <c r="CA239" s="5" t="str">
        <f>"14,00"</f>
        <v>14,00</v>
      </c>
      <c r="CB239" s="5" t="str">
        <f>"2036"</f>
        <v>2036</v>
      </c>
      <c r="CC239" s="5" t="str">
        <f>"1961"</f>
        <v>1961</v>
      </c>
      <c r="CD239" s="5" t="str">
        <f>"16,00"</f>
        <v>16,00</v>
      </c>
      <c r="CE239" s="5" t="str">
        <f>"2036"</f>
        <v>2036</v>
      </c>
      <c r="CF239" s="5" t="str">
        <f>"1961"</f>
        <v>1961</v>
      </c>
      <c r="CG239" s="5" t="str">
        <f>"15,00"</f>
        <v>15,00</v>
      </c>
      <c r="CH239" s="5" t="str">
        <f>"2036"</f>
        <v>2036</v>
      </c>
      <c r="CI239" s="5" t="str">
        <f>"15,00"</f>
        <v>15,00</v>
      </c>
      <c r="CJ239" s="5" t="str">
        <f>"2041"</f>
        <v>2041</v>
      </c>
    </row>
    <row r="240" spans="1:88" ht="11.25" customHeight="1">
      <c r="A240" s="3" t="str">
        <f>"1.227"</f>
        <v>1.227</v>
      </c>
      <c r="B240" s="4" t="str">
        <f>"г. Грязовец, ул. Привокзальная, д.19"</f>
        <v>г. Грязовец, ул. Привокзальная, д.19</v>
      </c>
      <c r="C240" s="7" t="str">
        <f>"1974"</f>
        <v>1974</v>
      </c>
      <c r="D240" s="5" t="str">
        <f>"1974"</f>
        <v>1974</v>
      </c>
      <c r="E240" s="5" t="str">
        <f>"40,00"</f>
        <v>40,00</v>
      </c>
      <c r="F240" s="5" t="str">
        <f>"2025"</f>
        <v>2025</v>
      </c>
      <c r="G240" s="5" t="str">
        <f t="shared" si="369"/>
        <v>нет</v>
      </c>
      <c r="H240" s="5" t="str">
        <f>""</f>
        <v/>
      </c>
      <c r="I240" s="5" t="str">
        <f>""</f>
        <v/>
      </c>
      <c r="J240" s="5" t="str">
        <f>""</f>
        <v/>
      </c>
      <c r="K240" s="5" t="str">
        <f t="shared" si="370"/>
        <v>нет</v>
      </c>
      <c r="L240" s="5" t="str">
        <f>""</f>
        <v/>
      </c>
      <c r="M240" s="5" t="str">
        <f>""</f>
        <v/>
      </c>
      <c r="N240" s="5" t="str">
        <f>""</f>
        <v/>
      </c>
      <c r="O240" s="8" t="str">
        <f>"1974"</f>
        <v>1974</v>
      </c>
      <c r="P240" s="5" t="str">
        <f>"43,00"</f>
        <v>43,00</v>
      </c>
      <c r="Q240" s="5" t="str">
        <f>"2024"</f>
        <v>2024</v>
      </c>
      <c r="R240" s="5" t="str">
        <f t="shared" si="386"/>
        <v>нет</v>
      </c>
      <c r="S240" s="5" t="str">
        <f t="shared" si="372"/>
        <v>х</v>
      </c>
      <c r="T240" s="5" t="str">
        <f t="shared" si="372"/>
        <v>х</v>
      </c>
      <c r="U240" s="5" t="str">
        <f t="shared" si="372"/>
        <v>х</v>
      </c>
      <c r="V240" s="5" t="str">
        <f t="shared" si="387"/>
        <v>нет</v>
      </c>
      <c r="W240" s="5" t="str">
        <f t="shared" si="373"/>
        <v>х</v>
      </c>
      <c r="X240" s="5" t="str">
        <f t="shared" si="373"/>
        <v>х</v>
      </c>
      <c r="Y240" s="9" t="str">
        <f t="shared" si="373"/>
        <v>х</v>
      </c>
      <c r="Z240" s="5" t="str">
        <f>"1974"</f>
        <v>1974</v>
      </c>
      <c r="AA240" s="5" t="str">
        <f>"18,00"</f>
        <v>18,00</v>
      </c>
      <c r="AB240" s="5" t="str">
        <f>"2029"</f>
        <v>2029</v>
      </c>
      <c r="AC240" s="5" t="str">
        <f t="shared" si="374"/>
        <v>нет</v>
      </c>
      <c r="AD240" s="5" t="str">
        <f>""</f>
        <v/>
      </c>
      <c r="AE240" s="5" t="str">
        <f>""</f>
        <v/>
      </c>
      <c r="AF240" s="5" t="str">
        <f>""</f>
        <v/>
      </c>
      <c r="AG240" s="5" t="str">
        <f t="shared" si="375"/>
        <v>нет</v>
      </c>
      <c r="AH240" s="5" t="str">
        <f>""</f>
        <v/>
      </c>
      <c r="AI240" s="5" t="str">
        <f>""</f>
        <v/>
      </c>
      <c r="AJ240" s="5" t="str">
        <f>""</f>
        <v/>
      </c>
      <c r="AK240" s="8" t="str">
        <f>"1974"</f>
        <v>1974</v>
      </c>
      <c r="AL240" s="5" t="str">
        <f>"46,00"</f>
        <v>46,00</v>
      </c>
      <c r="AM240" s="5" t="str">
        <f>"2028"</f>
        <v>2028</v>
      </c>
      <c r="AN240" s="5" t="str">
        <f t="shared" si="388"/>
        <v>нет</v>
      </c>
      <c r="AO240" s="5" t="str">
        <f t="shared" si="376"/>
        <v>х</v>
      </c>
      <c r="AP240" s="5" t="str">
        <f t="shared" si="376"/>
        <v>х</v>
      </c>
      <c r="AQ240" s="5" t="str">
        <f t="shared" si="376"/>
        <v>х</v>
      </c>
      <c r="AR240" s="5" t="str">
        <f t="shared" si="389"/>
        <v>нет</v>
      </c>
      <c r="AS240" s="5" t="str">
        <f t="shared" si="377"/>
        <v>х</v>
      </c>
      <c r="AT240" s="5" t="str">
        <f t="shared" si="377"/>
        <v>х</v>
      </c>
      <c r="AU240" s="5" t="str">
        <f t="shared" si="377"/>
        <v>х</v>
      </c>
      <c r="AV240" s="5" t="str">
        <f>"1974"</f>
        <v>1974</v>
      </c>
      <c r="AW240" s="5" t="str">
        <f>"45,00"</f>
        <v>45,00</v>
      </c>
      <c r="AX240" s="5" t="str">
        <f>"2022"</f>
        <v>2022</v>
      </c>
      <c r="AY240" s="5" t="str">
        <f t="shared" si="390"/>
        <v>нет</v>
      </c>
      <c r="AZ240" s="5" t="str">
        <f t="shared" si="378"/>
        <v>х</v>
      </c>
      <c r="BA240" s="5" t="str">
        <f t="shared" si="378"/>
        <v>х</v>
      </c>
      <c r="BB240" s="5" t="str">
        <f t="shared" si="378"/>
        <v>х</v>
      </c>
      <c r="BC240" s="5" t="str">
        <f t="shared" si="391"/>
        <v>нет</v>
      </c>
      <c r="BD240" s="5" t="str">
        <f t="shared" si="379"/>
        <v>х</v>
      </c>
      <c r="BE240" s="5" t="str">
        <f t="shared" si="379"/>
        <v>х</v>
      </c>
      <c r="BF240" s="5" t="str">
        <f t="shared" si="379"/>
        <v>х</v>
      </c>
      <c r="BG240" s="5" t="str">
        <f>"1974"</f>
        <v>1974</v>
      </c>
      <c r="BH240" s="5" t="str">
        <f>"45,00"</f>
        <v>45,00</v>
      </c>
      <c r="BI240" s="5" t="str">
        <f>"2023"</f>
        <v>2023</v>
      </c>
      <c r="BJ240" s="5" t="str">
        <f t="shared" si="392"/>
        <v>нет</v>
      </c>
      <c r="BK240" s="5" t="str">
        <f t="shared" si="380"/>
        <v>х</v>
      </c>
      <c r="BL240" s="5" t="str">
        <f t="shared" si="380"/>
        <v>х</v>
      </c>
      <c r="BM240" s="5" t="str">
        <f t="shared" si="380"/>
        <v>х</v>
      </c>
      <c r="BN240" s="5" t="str">
        <f t="shared" si="393"/>
        <v>нет</v>
      </c>
      <c r="BO240" s="5" t="str">
        <f t="shared" si="381"/>
        <v>х</v>
      </c>
      <c r="BP240" s="5" t="str">
        <f t="shared" si="381"/>
        <v>х</v>
      </c>
      <c r="BQ240" s="5" t="str">
        <f t="shared" si="381"/>
        <v>х</v>
      </c>
      <c r="BR240" s="5" t="str">
        <f>"1974"</f>
        <v>1974</v>
      </c>
      <c r="BS240" s="5" t="str">
        <f>"39,00"</f>
        <v>39,00</v>
      </c>
      <c r="BT240" s="5" t="str">
        <f>"2024"</f>
        <v>2024</v>
      </c>
      <c r="BU240" s="5" t="str">
        <f t="shared" si="339"/>
        <v>нет</v>
      </c>
      <c r="BV240" s="5" t="str">
        <f t="shared" si="394"/>
        <v>x</v>
      </c>
      <c r="BW240" s="5" t="str">
        <f t="shared" si="394"/>
        <v>x</v>
      </c>
      <c r="BX240" s="5" t="str">
        <f t="shared" si="394"/>
        <v>x</v>
      </c>
      <c r="BY240" s="5" t="str">
        <f t="shared" si="395"/>
        <v>нет</v>
      </c>
      <c r="BZ240" s="5" t="str">
        <f>"1974"</f>
        <v>1974</v>
      </c>
      <c r="CA240" s="5" t="str">
        <f>"41,00"</f>
        <v>41,00</v>
      </c>
      <c r="CB240" s="5" t="str">
        <f>"2022"</f>
        <v>2022</v>
      </c>
      <c r="CC240" s="5" t="str">
        <f>"1974"</f>
        <v>1974</v>
      </c>
      <c r="CD240" s="5" t="str">
        <f>"35,00"</f>
        <v>35,00</v>
      </c>
      <c r="CE240" s="5" t="str">
        <f>"2024"</f>
        <v>2024</v>
      </c>
      <c r="CF240" s="5" t="str">
        <f>"1974"</f>
        <v>1974</v>
      </c>
      <c r="CG240" s="5" t="str">
        <f>"42,00"</f>
        <v>42,00</v>
      </c>
      <c r="CH240" s="5" t="str">
        <f>"2023"</f>
        <v>2023</v>
      </c>
      <c r="CI240" s="5" t="str">
        <f>"40,00"</f>
        <v>40,00</v>
      </c>
      <c r="CJ240" s="5" t="str">
        <f>"2030"</f>
        <v>2030</v>
      </c>
    </row>
    <row r="241" spans="1:88" ht="11.25" customHeight="1">
      <c r="A241" s="3" t="str">
        <f>"1.228"</f>
        <v>1.228</v>
      </c>
      <c r="B241" s="4" t="str">
        <f>"г. Грязовец, ул. Привокзальная, д.1А"</f>
        <v>г. Грязовец, ул. Привокзальная, д.1А</v>
      </c>
      <c r="C241" s="7" t="str">
        <f>"1971"</f>
        <v>1971</v>
      </c>
      <c r="D241" s="5" t="str">
        <f>"1971"</f>
        <v>1971</v>
      </c>
      <c r="E241" s="5" t="str">
        <f>"43,00"</f>
        <v>43,00</v>
      </c>
      <c r="F241" s="5" t="str">
        <f>"2022"</f>
        <v>2022</v>
      </c>
      <c r="G241" s="5" t="str">
        <f t="shared" si="369"/>
        <v>нет</v>
      </c>
      <c r="H241" s="5" t="str">
        <f>""</f>
        <v/>
      </c>
      <c r="I241" s="5" t="str">
        <f>""</f>
        <v/>
      </c>
      <c r="J241" s="5" t="str">
        <f>""</f>
        <v/>
      </c>
      <c r="K241" s="5" t="str">
        <f t="shared" si="370"/>
        <v>нет</v>
      </c>
      <c r="L241" s="5" t="str">
        <f>""</f>
        <v/>
      </c>
      <c r="M241" s="5" t="str">
        <f>""</f>
        <v/>
      </c>
      <c r="N241" s="5" t="str">
        <f>""</f>
        <v/>
      </c>
      <c r="O241" s="8" t="str">
        <f t="shared" ref="O241:Q244" si="396">"х"</f>
        <v>х</v>
      </c>
      <c r="P241" s="5" t="str">
        <f t="shared" si="396"/>
        <v>х</v>
      </c>
      <c r="Q241" s="5" t="str">
        <f t="shared" si="396"/>
        <v>х</v>
      </c>
      <c r="R241" s="5" t="str">
        <f t="shared" si="386"/>
        <v>нет</v>
      </c>
      <c r="S241" s="5" t="str">
        <f t="shared" si="372"/>
        <v>х</v>
      </c>
      <c r="T241" s="5" t="str">
        <f t="shared" si="372"/>
        <v>х</v>
      </c>
      <c r="U241" s="5" t="str">
        <f t="shared" si="372"/>
        <v>х</v>
      </c>
      <c r="V241" s="5" t="str">
        <f t="shared" si="387"/>
        <v>нет</v>
      </c>
      <c r="W241" s="5" t="str">
        <f t="shared" si="373"/>
        <v>х</v>
      </c>
      <c r="X241" s="5" t="str">
        <f t="shared" si="373"/>
        <v>х</v>
      </c>
      <c r="Y241" s="9" t="str">
        <f t="shared" si="373"/>
        <v>х</v>
      </c>
      <c r="Z241" s="5" t="str">
        <f t="shared" ref="Z241:AB243" si="397">"х"</f>
        <v>х</v>
      </c>
      <c r="AA241" s="5" t="str">
        <f t="shared" si="397"/>
        <v>х</v>
      </c>
      <c r="AB241" s="5" t="str">
        <f t="shared" si="397"/>
        <v>х</v>
      </c>
      <c r="AC241" s="5" t="str">
        <f t="shared" si="374"/>
        <v>нет</v>
      </c>
      <c r="AD241" s="5" t="str">
        <f t="shared" ref="AD241:AF243" si="398">"х"</f>
        <v>х</v>
      </c>
      <c r="AE241" s="5" t="str">
        <f t="shared" si="398"/>
        <v>х</v>
      </c>
      <c r="AF241" s="5" t="str">
        <f t="shared" si="398"/>
        <v>х</v>
      </c>
      <c r="AG241" s="5" t="str">
        <f t="shared" si="375"/>
        <v>нет</v>
      </c>
      <c r="AH241" s="5" t="str">
        <f t="shared" ref="AH241:AM243" si="399">"х"</f>
        <v>х</v>
      </c>
      <c r="AI241" s="5" t="str">
        <f t="shared" si="399"/>
        <v>х</v>
      </c>
      <c r="AJ241" s="5" t="str">
        <f t="shared" si="399"/>
        <v>х</v>
      </c>
      <c r="AK241" s="8" t="str">
        <f t="shared" si="399"/>
        <v>х</v>
      </c>
      <c r="AL241" s="5" t="str">
        <f t="shared" si="399"/>
        <v>х</v>
      </c>
      <c r="AM241" s="5" t="str">
        <f t="shared" si="399"/>
        <v>х</v>
      </c>
      <c r="AN241" s="5" t="str">
        <f t="shared" si="388"/>
        <v>нет</v>
      </c>
      <c r="AO241" s="5" t="str">
        <f t="shared" si="376"/>
        <v>х</v>
      </c>
      <c r="AP241" s="5" t="str">
        <f t="shared" si="376"/>
        <v>х</v>
      </c>
      <c r="AQ241" s="5" t="str">
        <f t="shared" si="376"/>
        <v>х</v>
      </c>
      <c r="AR241" s="5" t="str">
        <f t="shared" si="389"/>
        <v>нет</v>
      </c>
      <c r="AS241" s="5" t="str">
        <f t="shared" si="377"/>
        <v>х</v>
      </c>
      <c r="AT241" s="5" t="str">
        <f t="shared" si="377"/>
        <v>х</v>
      </c>
      <c r="AU241" s="5" t="str">
        <f t="shared" si="377"/>
        <v>х</v>
      </c>
      <c r="AV241" s="5" t="str">
        <f t="shared" ref="AV241:AX244" si="400">"х"</f>
        <v>х</v>
      </c>
      <c r="AW241" s="5" t="str">
        <f t="shared" si="400"/>
        <v>х</v>
      </c>
      <c r="AX241" s="5" t="str">
        <f t="shared" si="400"/>
        <v>х</v>
      </c>
      <c r="AY241" s="5" t="str">
        <f t="shared" si="390"/>
        <v>нет</v>
      </c>
      <c r="AZ241" s="5" t="str">
        <f t="shared" si="378"/>
        <v>х</v>
      </c>
      <c r="BA241" s="5" t="str">
        <f t="shared" si="378"/>
        <v>х</v>
      </c>
      <c r="BB241" s="5" t="str">
        <f t="shared" si="378"/>
        <v>х</v>
      </c>
      <c r="BC241" s="5" t="str">
        <f t="shared" si="391"/>
        <v>нет</v>
      </c>
      <c r="BD241" s="5" t="str">
        <f t="shared" si="379"/>
        <v>х</v>
      </c>
      <c r="BE241" s="5" t="str">
        <f t="shared" si="379"/>
        <v>х</v>
      </c>
      <c r="BF241" s="5" t="str">
        <f t="shared" si="379"/>
        <v>х</v>
      </c>
      <c r="BG241" s="5" t="str">
        <f>"х"</f>
        <v>х</v>
      </c>
      <c r="BH241" s="5" t="str">
        <f>"х"</f>
        <v>х</v>
      </c>
      <c r="BI241" s="5" t="str">
        <f>"х"</f>
        <v>х</v>
      </c>
      <c r="BJ241" s="5" t="str">
        <f t="shared" si="392"/>
        <v>нет</v>
      </c>
      <c r="BK241" s="5" t="str">
        <f t="shared" si="380"/>
        <v>х</v>
      </c>
      <c r="BL241" s="5" t="str">
        <f t="shared" si="380"/>
        <v>х</v>
      </c>
      <c r="BM241" s="5" t="str">
        <f t="shared" si="380"/>
        <v>х</v>
      </c>
      <c r="BN241" s="5" t="str">
        <f t="shared" si="393"/>
        <v>нет</v>
      </c>
      <c r="BO241" s="5" t="str">
        <f t="shared" si="381"/>
        <v>х</v>
      </c>
      <c r="BP241" s="5" t="str">
        <f t="shared" si="381"/>
        <v>х</v>
      </c>
      <c r="BQ241" s="5" t="str">
        <f t="shared" si="381"/>
        <v>х</v>
      </c>
      <c r="BR241" s="5" t="str">
        <f>"1971"</f>
        <v>1971</v>
      </c>
      <c r="BS241" s="5" t="str">
        <f>"61,00"</f>
        <v>61,00</v>
      </c>
      <c r="BT241" s="5" t="str">
        <f>"2019"</f>
        <v>2019</v>
      </c>
      <c r="BU241" s="5" t="str">
        <f t="shared" si="339"/>
        <v>нет</v>
      </c>
      <c r="BV241" s="5" t="str">
        <f t="shared" si="394"/>
        <v>x</v>
      </c>
      <c r="BW241" s="5" t="str">
        <f t="shared" si="394"/>
        <v>x</v>
      </c>
      <c r="BX241" s="5" t="str">
        <f t="shared" si="394"/>
        <v>x</v>
      </c>
      <c r="BY241" s="5" t="str">
        <f t="shared" si="395"/>
        <v>нет</v>
      </c>
      <c r="BZ241" s="5" t="str">
        <f>"1971"</f>
        <v>1971</v>
      </c>
      <c r="CA241" s="5" t="str">
        <f>"60,00"</f>
        <v>60,00</v>
      </c>
      <c r="CB241" s="5" t="str">
        <f>"2020"</f>
        <v>2020</v>
      </c>
      <c r="CC241" s="5" t="str">
        <f>"1971"</f>
        <v>1971</v>
      </c>
      <c r="CD241" s="5" t="str">
        <f>"61,00"</f>
        <v>61,00</v>
      </c>
      <c r="CE241" s="5" t="str">
        <f>"2020"</f>
        <v>2020</v>
      </c>
      <c r="CF241" s="5" t="str">
        <f>"1971"</f>
        <v>1971</v>
      </c>
      <c r="CG241" s="5" t="str">
        <f>"59,00"</f>
        <v>59,00</v>
      </c>
      <c r="CH241" s="5" t="str">
        <f>"2019"</f>
        <v>2019</v>
      </c>
      <c r="CI241" s="5" t="str">
        <f>"59,00"</f>
        <v>59,00</v>
      </c>
      <c r="CJ241" s="5" t="str">
        <f>"2022"</f>
        <v>2022</v>
      </c>
    </row>
    <row r="242" spans="1:88" ht="11.25" customHeight="1">
      <c r="A242" s="3" t="str">
        <f>"1.229"</f>
        <v>1.229</v>
      </c>
      <c r="B242" s="4" t="str">
        <f>"г. Грязовец, ул. Привокзальная, д.25"</f>
        <v>г. Грязовец, ул. Привокзальная, д.25</v>
      </c>
      <c r="C242" s="7" t="str">
        <f>"1966"</f>
        <v>1966</v>
      </c>
      <c r="D242" s="5" t="str">
        <f>"1966"</f>
        <v>1966</v>
      </c>
      <c r="E242" s="5" t="str">
        <f>"65,00"</f>
        <v>65,00</v>
      </c>
      <c r="F242" s="5" t="str">
        <f>"2020"</f>
        <v>2020</v>
      </c>
      <c r="G242" s="5" t="str">
        <f t="shared" si="369"/>
        <v>нет</v>
      </c>
      <c r="H242" s="5" t="str">
        <f>""</f>
        <v/>
      </c>
      <c r="I242" s="5" t="str">
        <f>""</f>
        <v/>
      </c>
      <c r="J242" s="5" t="str">
        <f>""</f>
        <v/>
      </c>
      <c r="K242" s="5" t="str">
        <f t="shared" si="370"/>
        <v>нет</v>
      </c>
      <c r="L242" s="5" t="str">
        <f>""</f>
        <v/>
      </c>
      <c r="M242" s="5" t="str">
        <f>""</f>
        <v/>
      </c>
      <c r="N242" s="5" t="str">
        <f>""</f>
        <v/>
      </c>
      <c r="O242" s="8" t="str">
        <f t="shared" si="396"/>
        <v>х</v>
      </c>
      <c r="P242" s="5" t="str">
        <f t="shared" si="396"/>
        <v>х</v>
      </c>
      <c r="Q242" s="5" t="str">
        <f t="shared" si="396"/>
        <v>х</v>
      </c>
      <c r="R242" s="5" t="str">
        <f t="shared" si="386"/>
        <v>нет</v>
      </c>
      <c r="S242" s="5" t="str">
        <f t="shared" si="372"/>
        <v>х</v>
      </c>
      <c r="T242" s="5" t="str">
        <f t="shared" si="372"/>
        <v>х</v>
      </c>
      <c r="U242" s="5" t="str">
        <f t="shared" si="372"/>
        <v>х</v>
      </c>
      <c r="V242" s="5" t="str">
        <f t="shared" si="387"/>
        <v>нет</v>
      </c>
      <c r="W242" s="5" t="str">
        <f t="shared" si="373"/>
        <v>х</v>
      </c>
      <c r="X242" s="5" t="str">
        <f t="shared" si="373"/>
        <v>х</v>
      </c>
      <c r="Y242" s="9" t="str">
        <f t="shared" si="373"/>
        <v>х</v>
      </c>
      <c r="Z242" s="5" t="str">
        <f t="shared" si="397"/>
        <v>х</v>
      </c>
      <c r="AA242" s="5" t="str">
        <f t="shared" si="397"/>
        <v>х</v>
      </c>
      <c r="AB242" s="5" t="str">
        <f t="shared" si="397"/>
        <v>х</v>
      </c>
      <c r="AC242" s="5" t="str">
        <f t="shared" si="374"/>
        <v>нет</v>
      </c>
      <c r="AD242" s="5" t="str">
        <f t="shared" si="398"/>
        <v>х</v>
      </c>
      <c r="AE242" s="5" t="str">
        <f t="shared" si="398"/>
        <v>х</v>
      </c>
      <c r="AF242" s="5" t="str">
        <f t="shared" si="398"/>
        <v>х</v>
      </c>
      <c r="AG242" s="5" t="str">
        <f t="shared" si="375"/>
        <v>нет</v>
      </c>
      <c r="AH242" s="5" t="str">
        <f t="shared" si="399"/>
        <v>х</v>
      </c>
      <c r="AI242" s="5" t="str">
        <f t="shared" si="399"/>
        <v>х</v>
      </c>
      <c r="AJ242" s="5" t="str">
        <f t="shared" si="399"/>
        <v>х</v>
      </c>
      <c r="AK242" s="8" t="str">
        <f t="shared" si="399"/>
        <v>х</v>
      </c>
      <c r="AL242" s="5" t="str">
        <f t="shared" si="399"/>
        <v>х</v>
      </c>
      <c r="AM242" s="5" t="str">
        <f t="shared" si="399"/>
        <v>х</v>
      </c>
      <c r="AN242" s="5" t="str">
        <f t="shared" si="388"/>
        <v>нет</v>
      </c>
      <c r="AO242" s="5" t="str">
        <f t="shared" si="376"/>
        <v>х</v>
      </c>
      <c r="AP242" s="5" t="str">
        <f t="shared" si="376"/>
        <v>х</v>
      </c>
      <c r="AQ242" s="5" t="str">
        <f t="shared" si="376"/>
        <v>х</v>
      </c>
      <c r="AR242" s="5" t="str">
        <f t="shared" si="389"/>
        <v>нет</v>
      </c>
      <c r="AS242" s="5" t="str">
        <f t="shared" si="377"/>
        <v>х</v>
      </c>
      <c r="AT242" s="5" t="str">
        <f t="shared" si="377"/>
        <v>х</v>
      </c>
      <c r="AU242" s="5" t="str">
        <f t="shared" si="377"/>
        <v>х</v>
      </c>
      <c r="AV242" s="5" t="str">
        <f t="shared" si="400"/>
        <v>х</v>
      </c>
      <c r="AW242" s="5" t="str">
        <f t="shared" si="400"/>
        <v>х</v>
      </c>
      <c r="AX242" s="5" t="str">
        <f t="shared" si="400"/>
        <v>х</v>
      </c>
      <c r="AY242" s="5" t="str">
        <f t="shared" si="390"/>
        <v>нет</v>
      </c>
      <c r="AZ242" s="5" t="str">
        <f t="shared" si="378"/>
        <v>х</v>
      </c>
      <c r="BA242" s="5" t="str">
        <f t="shared" si="378"/>
        <v>х</v>
      </c>
      <c r="BB242" s="5" t="str">
        <f t="shared" si="378"/>
        <v>х</v>
      </c>
      <c r="BC242" s="5" t="str">
        <f t="shared" si="391"/>
        <v>нет</v>
      </c>
      <c r="BD242" s="5" t="str">
        <f t="shared" si="379"/>
        <v>х</v>
      </c>
      <c r="BE242" s="5" t="str">
        <f t="shared" si="379"/>
        <v>х</v>
      </c>
      <c r="BF242" s="5" t="str">
        <f t="shared" si="379"/>
        <v>х</v>
      </c>
      <c r="BG242" s="5" t="str">
        <f>"1966"</f>
        <v>1966</v>
      </c>
      <c r="BH242" s="5" t="str">
        <f>"62,00"</f>
        <v>62,00</v>
      </c>
      <c r="BI242" s="5" t="str">
        <f>"2021"</f>
        <v>2021</v>
      </c>
      <c r="BJ242" s="5" t="str">
        <f t="shared" si="392"/>
        <v>нет</v>
      </c>
      <c r="BK242" s="5" t="str">
        <f t="shared" si="380"/>
        <v>х</v>
      </c>
      <c r="BL242" s="5" t="str">
        <f t="shared" si="380"/>
        <v>х</v>
      </c>
      <c r="BM242" s="5" t="str">
        <f t="shared" si="380"/>
        <v>х</v>
      </c>
      <c r="BN242" s="5" t="str">
        <f t="shared" si="393"/>
        <v>нет</v>
      </c>
      <c r="BO242" s="5" t="str">
        <f t="shared" si="381"/>
        <v>х</v>
      </c>
      <c r="BP242" s="5" t="str">
        <f t="shared" si="381"/>
        <v>х</v>
      </c>
      <c r="BQ242" s="5" t="str">
        <f t="shared" si="381"/>
        <v>х</v>
      </c>
      <c r="BR242" s="5" t="str">
        <f>"1966"</f>
        <v>1966</v>
      </c>
      <c r="BS242" s="5" t="str">
        <f>"71,00"</f>
        <v>71,00</v>
      </c>
      <c r="BT242" s="5" t="str">
        <f>"2020"</f>
        <v>2020</v>
      </c>
      <c r="BU242" s="5" t="str">
        <f t="shared" si="339"/>
        <v>нет</v>
      </c>
      <c r="BV242" s="5" t="str">
        <f t="shared" si="394"/>
        <v>x</v>
      </c>
      <c r="BW242" s="5" t="str">
        <f t="shared" si="394"/>
        <v>x</v>
      </c>
      <c r="BX242" s="5" t="str">
        <f t="shared" si="394"/>
        <v>x</v>
      </c>
      <c r="BY242" s="5" t="str">
        <f t="shared" si="395"/>
        <v>нет</v>
      </c>
      <c r="BZ242" s="5" t="str">
        <f>"1966"</f>
        <v>1966</v>
      </c>
      <c r="CA242" s="5" t="str">
        <f>"68,00"</f>
        <v>68,00</v>
      </c>
      <c r="CB242" s="5" t="str">
        <f>"2020"</f>
        <v>2020</v>
      </c>
      <c r="CC242" s="5" t="str">
        <f>"1966"</f>
        <v>1966</v>
      </c>
      <c r="CD242" s="5" t="str">
        <f>"66,00"</f>
        <v>66,00</v>
      </c>
      <c r="CE242" s="5" t="str">
        <f>"2020"</f>
        <v>2020</v>
      </c>
      <c r="CF242" s="5" t="str">
        <f>"1966"</f>
        <v>1966</v>
      </c>
      <c r="CG242" s="5" t="str">
        <f>"70,00"</f>
        <v>70,00</v>
      </c>
      <c r="CH242" s="5" t="str">
        <f>"2019"</f>
        <v>2019</v>
      </c>
      <c r="CI242" s="5" t="str">
        <f>"70,00"</f>
        <v>70,00</v>
      </c>
      <c r="CJ242" s="5" t="str">
        <f>"2022"</f>
        <v>2022</v>
      </c>
    </row>
    <row r="243" spans="1:88" ht="11.25" customHeight="1">
      <c r="A243" s="3" t="str">
        <f>"1.230"</f>
        <v>1.230</v>
      </c>
      <c r="B243" s="4" t="str">
        <f>"г. Грязовец, ул. Привокзальная, д.3"</f>
        <v>г. Грязовец, ул. Привокзальная, д.3</v>
      </c>
      <c r="C243" s="7" t="str">
        <f>"1938"</f>
        <v>1938</v>
      </c>
      <c r="D243" s="5" t="str">
        <f>"1938"</f>
        <v>1938</v>
      </c>
      <c r="E243" s="5" t="str">
        <f>"76,00"</f>
        <v>76,00</v>
      </c>
      <c r="F243" s="5" t="str">
        <f>"2019"</f>
        <v>2019</v>
      </c>
      <c r="G243" s="5" t="str">
        <f t="shared" si="369"/>
        <v>нет</v>
      </c>
      <c r="H243" s="5" t="str">
        <f>""</f>
        <v/>
      </c>
      <c r="I243" s="5" t="str">
        <f>""</f>
        <v/>
      </c>
      <c r="J243" s="5" t="str">
        <f>""</f>
        <v/>
      </c>
      <c r="K243" s="5" t="str">
        <f t="shared" si="370"/>
        <v>нет</v>
      </c>
      <c r="L243" s="5" t="str">
        <f>""</f>
        <v/>
      </c>
      <c r="M243" s="5" t="str">
        <f>""</f>
        <v/>
      </c>
      <c r="N243" s="5" t="str">
        <f>""</f>
        <v/>
      </c>
      <c r="O243" s="8" t="str">
        <f t="shared" si="396"/>
        <v>х</v>
      </c>
      <c r="P243" s="5" t="str">
        <f t="shared" si="396"/>
        <v>х</v>
      </c>
      <c r="Q243" s="5" t="str">
        <f t="shared" si="396"/>
        <v>х</v>
      </c>
      <c r="R243" s="5" t="str">
        <f t="shared" si="386"/>
        <v>нет</v>
      </c>
      <c r="S243" s="5" t="str">
        <f t="shared" si="372"/>
        <v>х</v>
      </c>
      <c r="T243" s="5" t="str">
        <f t="shared" si="372"/>
        <v>х</v>
      </c>
      <c r="U243" s="5" t="str">
        <f t="shared" si="372"/>
        <v>х</v>
      </c>
      <c r="V243" s="5" t="str">
        <f t="shared" si="387"/>
        <v>нет</v>
      </c>
      <c r="W243" s="5" t="str">
        <f t="shared" si="373"/>
        <v>х</v>
      </c>
      <c r="X243" s="5" t="str">
        <f t="shared" si="373"/>
        <v>х</v>
      </c>
      <c r="Y243" s="9" t="str">
        <f t="shared" si="373"/>
        <v>х</v>
      </c>
      <c r="Z243" s="5" t="str">
        <f t="shared" si="397"/>
        <v>х</v>
      </c>
      <c r="AA243" s="5" t="str">
        <f t="shared" si="397"/>
        <v>х</v>
      </c>
      <c r="AB243" s="5" t="str">
        <f t="shared" si="397"/>
        <v>х</v>
      </c>
      <c r="AC243" s="5" t="str">
        <f>"х"</f>
        <v>х</v>
      </c>
      <c r="AD243" s="5" t="str">
        <f t="shared" si="398"/>
        <v>х</v>
      </c>
      <c r="AE243" s="5" t="str">
        <f t="shared" si="398"/>
        <v>х</v>
      </c>
      <c r="AF243" s="5" t="str">
        <f t="shared" si="398"/>
        <v>х</v>
      </c>
      <c r="AG243" s="5" t="str">
        <f>"х"</f>
        <v>х</v>
      </c>
      <c r="AH243" s="5" t="str">
        <f t="shared" si="399"/>
        <v>х</v>
      </c>
      <c r="AI243" s="5" t="str">
        <f t="shared" si="399"/>
        <v>х</v>
      </c>
      <c r="AJ243" s="5" t="str">
        <f t="shared" si="399"/>
        <v>х</v>
      </c>
      <c r="AK243" s="8" t="str">
        <f t="shared" si="399"/>
        <v>х</v>
      </c>
      <c r="AL243" s="5" t="str">
        <f t="shared" si="399"/>
        <v>х</v>
      </c>
      <c r="AM243" s="5" t="str">
        <f t="shared" si="399"/>
        <v>х</v>
      </c>
      <c r="AN243" s="5" t="str">
        <f t="shared" si="388"/>
        <v>нет</v>
      </c>
      <c r="AO243" s="5" t="str">
        <f t="shared" si="376"/>
        <v>х</v>
      </c>
      <c r="AP243" s="5" t="str">
        <f t="shared" si="376"/>
        <v>х</v>
      </c>
      <c r="AQ243" s="5" t="str">
        <f t="shared" si="376"/>
        <v>х</v>
      </c>
      <c r="AR243" s="5" t="str">
        <f>"х"</f>
        <v>х</v>
      </c>
      <c r="AS243" s="5" t="str">
        <f t="shared" si="377"/>
        <v>х</v>
      </c>
      <c r="AT243" s="5" t="str">
        <f t="shared" si="377"/>
        <v>х</v>
      </c>
      <c r="AU243" s="5" t="str">
        <f t="shared" si="377"/>
        <v>х</v>
      </c>
      <c r="AV243" s="5" t="str">
        <f t="shared" si="400"/>
        <v>х</v>
      </c>
      <c r="AW243" s="5" t="str">
        <f t="shared" si="400"/>
        <v>х</v>
      </c>
      <c r="AX243" s="5" t="str">
        <f t="shared" si="400"/>
        <v>х</v>
      </c>
      <c r="AY243" s="5" t="str">
        <f t="shared" si="390"/>
        <v>нет</v>
      </c>
      <c r="AZ243" s="5" t="str">
        <f t="shared" si="378"/>
        <v>х</v>
      </c>
      <c r="BA243" s="5" t="str">
        <f t="shared" si="378"/>
        <v>х</v>
      </c>
      <c r="BB243" s="5" t="str">
        <f t="shared" si="378"/>
        <v>х</v>
      </c>
      <c r="BC243" s="5" t="str">
        <f>"х"</f>
        <v>х</v>
      </c>
      <c r="BD243" s="5" t="str">
        <f t="shared" si="379"/>
        <v>х</v>
      </c>
      <c r="BE243" s="5" t="str">
        <f t="shared" si="379"/>
        <v>х</v>
      </c>
      <c r="BF243" s="5" t="str">
        <f t="shared" si="379"/>
        <v>х</v>
      </c>
      <c r="BG243" s="5" t="str">
        <f t="shared" ref="BG243:BI244" si="401">"х"</f>
        <v>х</v>
      </c>
      <c r="BH243" s="5" t="str">
        <f t="shared" si="401"/>
        <v>х</v>
      </c>
      <c r="BI243" s="5" t="str">
        <f t="shared" si="401"/>
        <v>х</v>
      </c>
      <c r="BJ243" s="5" t="str">
        <f t="shared" si="392"/>
        <v>нет</v>
      </c>
      <c r="BK243" s="5" t="str">
        <f t="shared" si="380"/>
        <v>х</v>
      </c>
      <c r="BL243" s="5" t="str">
        <f t="shared" si="380"/>
        <v>х</v>
      </c>
      <c r="BM243" s="5" t="str">
        <f t="shared" si="380"/>
        <v>х</v>
      </c>
      <c r="BN243" s="5" t="str">
        <f>"х"</f>
        <v>х</v>
      </c>
      <c r="BO243" s="5" t="str">
        <f t="shared" si="381"/>
        <v>х</v>
      </c>
      <c r="BP243" s="5" t="str">
        <f t="shared" si="381"/>
        <v>х</v>
      </c>
      <c r="BQ243" s="5" t="str">
        <f t="shared" si="381"/>
        <v>х</v>
      </c>
      <c r="BR243" s="5" t="str">
        <f>"1938"</f>
        <v>1938</v>
      </c>
      <c r="BS243" s="5" t="str">
        <f>"89,00"</f>
        <v>89,00</v>
      </c>
      <c r="BT243" s="5" t="str">
        <f>"2019"</f>
        <v>2019</v>
      </c>
      <c r="BU243" s="5" t="str">
        <f t="shared" si="339"/>
        <v>нет</v>
      </c>
      <c r="BV243" s="5" t="str">
        <f t="shared" si="394"/>
        <v>x</v>
      </c>
      <c r="BW243" s="5" t="str">
        <f t="shared" si="394"/>
        <v>x</v>
      </c>
      <c r="BX243" s="5" t="str">
        <f t="shared" si="394"/>
        <v>x</v>
      </c>
      <c r="BY243" s="5" t="str">
        <f t="shared" si="395"/>
        <v>нет</v>
      </c>
      <c r="BZ243" s="5" t="str">
        <f>"1938"</f>
        <v>1938</v>
      </c>
      <c r="CA243" s="5" t="str">
        <f>"87,00"</f>
        <v>87,00</v>
      </c>
      <c r="CB243" s="5" t="str">
        <f>"2019"</f>
        <v>2019</v>
      </c>
      <c r="CC243" s="5" t="str">
        <f>"1938"</f>
        <v>1938</v>
      </c>
      <c r="CD243" s="5" t="str">
        <f>"82,00"</f>
        <v>82,00</v>
      </c>
      <c r="CE243" s="5" t="str">
        <f>"2020"</f>
        <v>2020</v>
      </c>
      <c r="CF243" s="5" t="str">
        <f>"1938"</f>
        <v>1938</v>
      </c>
      <c r="CG243" s="5" t="str">
        <f>"88,00"</f>
        <v>88,00</v>
      </c>
      <c r="CH243" s="5" t="str">
        <f>"2020"</f>
        <v>2020</v>
      </c>
      <c r="CI243" s="5" t="str">
        <f>"88,00"</f>
        <v>88,00</v>
      </c>
      <c r="CJ243" s="5" t="str">
        <f>"2020"</f>
        <v>2020</v>
      </c>
    </row>
    <row r="244" spans="1:88" ht="11.25" customHeight="1">
      <c r="A244" s="3" t="str">
        <f>"1.231"</f>
        <v>1.231</v>
      </c>
      <c r="B244" s="4" t="str">
        <f>"г. Грязовец, ул. Привокзальная, д.7"</f>
        <v>г. Грязовец, ул. Привокзальная, д.7</v>
      </c>
      <c r="C244" s="7" t="str">
        <f>"1995"</f>
        <v>1995</v>
      </c>
      <c r="D244" s="5" t="str">
        <f>"2004"</f>
        <v>2004</v>
      </c>
      <c r="E244" s="5" t="str">
        <f>"2,00"</f>
        <v>2,00</v>
      </c>
      <c r="F244" s="5" t="str">
        <f>"2042"</f>
        <v>2042</v>
      </c>
      <c r="G244" s="5" t="str">
        <f t="shared" si="369"/>
        <v>нет</v>
      </c>
      <c r="H244" s="5" t="str">
        <f>""</f>
        <v/>
      </c>
      <c r="I244" s="5" t="str">
        <f>""</f>
        <v/>
      </c>
      <c r="J244" s="5" t="str">
        <f>""</f>
        <v/>
      </c>
      <c r="K244" s="5" t="str">
        <f t="shared" si="370"/>
        <v>нет</v>
      </c>
      <c r="L244" s="5" t="str">
        <f>""</f>
        <v/>
      </c>
      <c r="M244" s="5" t="str">
        <f>""</f>
        <v/>
      </c>
      <c r="N244" s="5" t="str">
        <f>""</f>
        <v/>
      </c>
      <c r="O244" s="8" t="str">
        <f t="shared" si="396"/>
        <v>х</v>
      </c>
      <c r="P244" s="5" t="str">
        <f t="shared" si="396"/>
        <v>х</v>
      </c>
      <c r="Q244" s="5" t="str">
        <f t="shared" si="396"/>
        <v>х</v>
      </c>
      <c r="R244" s="5" t="str">
        <f t="shared" si="386"/>
        <v>нет</v>
      </c>
      <c r="S244" s="5" t="str">
        <f t="shared" si="372"/>
        <v>х</v>
      </c>
      <c r="T244" s="5" t="str">
        <f t="shared" si="372"/>
        <v>х</v>
      </c>
      <c r="U244" s="5" t="str">
        <f t="shared" si="372"/>
        <v>х</v>
      </c>
      <c r="V244" s="5" t="str">
        <f t="shared" si="387"/>
        <v>нет</v>
      </c>
      <c r="W244" s="5" t="str">
        <f t="shared" si="373"/>
        <v>х</v>
      </c>
      <c r="X244" s="5" t="str">
        <f t="shared" si="373"/>
        <v>х</v>
      </c>
      <c r="Y244" s="9" t="str">
        <f t="shared" si="373"/>
        <v>х</v>
      </c>
      <c r="Z244" s="5" t="str">
        <f>""</f>
        <v/>
      </c>
      <c r="AA244" s="5" t="str">
        <f>"5,00"</f>
        <v>5,00</v>
      </c>
      <c r="AB244" s="5" t="str">
        <f>"2042"</f>
        <v>2042</v>
      </c>
      <c r="AC244" s="5" t="str">
        <f t="shared" ref="AC244:AC280" si="402">"нет"</f>
        <v>нет</v>
      </c>
      <c r="AD244" s="5" t="str">
        <f>""</f>
        <v/>
      </c>
      <c r="AE244" s="5" t="str">
        <f>""</f>
        <v/>
      </c>
      <c r="AF244" s="5" t="str">
        <f>""</f>
        <v/>
      </c>
      <c r="AG244" s="5" t="str">
        <f t="shared" ref="AG244:AG280" si="403">"нет"</f>
        <v>нет</v>
      </c>
      <c r="AH244" s="5" t="str">
        <f>""</f>
        <v/>
      </c>
      <c r="AI244" s="5" t="str">
        <f>""</f>
        <v/>
      </c>
      <c r="AJ244" s="5" t="str">
        <f>""</f>
        <v/>
      </c>
      <c r="AK244" s="8" t="str">
        <f>"х"</f>
        <v>х</v>
      </c>
      <c r="AL244" s="5" t="str">
        <f>"х"</f>
        <v>х</v>
      </c>
      <c r="AM244" s="5" t="str">
        <f>"х"</f>
        <v>х</v>
      </c>
      <c r="AN244" s="5" t="str">
        <f t="shared" si="388"/>
        <v>нет</v>
      </c>
      <c r="AO244" s="5" t="str">
        <f t="shared" si="376"/>
        <v>х</v>
      </c>
      <c r="AP244" s="5" t="str">
        <f t="shared" si="376"/>
        <v>х</v>
      </c>
      <c r="AQ244" s="5" t="str">
        <f t="shared" si="376"/>
        <v>х</v>
      </c>
      <c r="AR244" s="5" t="str">
        <f>"нет"</f>
        <v>нет</v>
      </c>
      <c r="AS244" s="5" t="str">
        <f t="shared" si="377"/>
        <v>х</v>
      </c>
      <c r="AT244" s="5" t="str">
        <f t="shared" si="377"/>
        <v>х</v>
      </c>
      <c r="AU244" s="5" t="str">
        <f t="shared" si="377"/>
        <v>х</v>
      </c>
      <c r="AV244" s="5" t="str">
        <f t="shared" si="400"/>
        <v>х</v>
      </c>
      <c r="AW244" s="5" t="str">
        <f t="shared" si="400"/>
        <v>х</v>
      </c>
      <c r="AX244" s="5" t="str">
        <f t="shared" si="400"/>
        <v>х</v>
      </c>
      <c r="AY244" s="5" t="str">
        <f t="shared" si="390"/>
        <v>нет</v>
      </c>
      <c r="AZ244" s="5" t="str">
        <f t="shared" si="378"/>
        <v>х</v>
      </c>
      <c r="BA244" s="5" t="str">
        <f t="shared" si="378"/>
        <v>х</v>
      </c>
      <c r="BB244" s="5" t="str">
        <f t="shared" si="378"/>
        <v>х</v>
      </c>
      <c r="BC244" s="5" t="str">
        <f t="shared" ref="BC244:BC257" si="404">"нет"</f>
        <v>нет</v>
      </c>
      <c r="BD244" s="5" t="str">
        <f t="shared" si="379"/>
        <v>х</v>
      </c>
      <c r="BE244" s="5" t="str">
        <f t="shared" si="379"/>
        <v>х</v>
      </c>
      <c r="BF244" s="5" t="str">
        <f t="shared" si="379"/>
        <v>х</v>
      </c>
      <c r="BG244" s="5" t="str">
        <f t="shared" si="401"/>
        <v>х</v>
      </c>
      <c r="BH244" s="5" t="str">
        <f t="shared" si="401"/>
        <v>х</v>
      </c>
      <c r="BI244" s="5" t="str">
        <f t="shared" si="401"/>
        <v>х</v>
      </c>
      <c r="BJ244" s="5" t="str">
        <f t="shared" si="392"/>
        <v>нет</v>
      </c>
      <c r="BK244" s="5" t="str">
        <f t="shared" si="380"/>
        <v>х</v>
      </c>
      <c r="BL244" s="5" t="str">
        <f t="shared" si="380"/>
        <v>х</v>
      </c>
      <c r="BM244" s="5" t="str">
        <f t="shared" si="380"/>
        <v>х</v>
      </c>
      <c r="BN244" s="5" t="str">
        <f t="shared" ref="BN244:BN259" si="405">"нет"</f>
        <v>нет</v>
      </c>
      <c r="BO244" s="5" t="str">
        <f t="shared" si="381"/>
        <v>х</v>
      </c>
      <c r="BP244" s="5" t="str">
        <f t="shared" si="381"/>
        <v>х</v>
      </c>
      <c r="BQ244" s="5" t="str">
        <f t="shared" si="381"/>
        <v>х</v>
      </c>
      <c r="BR244" s="5" t="str">
        <f>"2007"</f>
        <v>2007</v>
      </c>
      <c r="BS244" s="5" t="str">
        <f>"5,00"</f>
        <v>5,00</v>
      </c>
      <c r="BT244" s="5" t="str">
        <f>"2042"</f>
        <v>2042</v>
      </c>
      <c r="BU244" s="5" t="str">
        <f t="shared" si="339"/>
        <v>нет</v>
      </c>
      <c r="BV244" s="5" t="str">
        <f t="shared" si="394"/>
        <v>x</v>
      </c>
      <c r="BW244" s="5" t="str">
        <f t="shared" si="394"/>
        <v>x</v>
      </c>
      <c r="BX244" s="5" t="str">
        <f t="shared" si="394"/>
        <v>x</v>
      </c>
      <c r="BY244" s="5" t="str">
        <f t="shared" si="395"/>
        <v>нет</v>
      </c>
      <c r="BZ244" s="5" t="str">
        <f>"2001"</f>
        <v>2001</v>
      </c>
      <c r="CA244" s="5" t="str">
        <f>"4,00"</f>
        <v>4,00</v>
      </c>
      <c r="CB244" s="5" t="str">
        <f>"2042"</f>
        <v>2042</v>
      </c>
      <c r="CC244" s="5" t="str">
        <f>"2004"</f>
        <v>2004</v>
      </c>
      <c r="CD244" s="5" t="str">
        <f>"4,00"</f>
        <v>4,00</v>
      </c>
      <c r="CE244" s="5" t="str">
        <f>"2042"</f>
        <v>2042</v>
      </c>
      <c r="CF244" s="5" t="str">
        <f>"2006"</f>
        <v>2006</v>
      </c>
      <c r="CG244" s="5" t="str">
        <f>"5,00"</f>
        <v>5,00</v>
      </c>
      <c r="CH244" s="5" t="str">
        <f>"2042"</f>
        <v>2042</v>
      </c>
      <c r="CI244" s="5" t="str">
        <f>"5,00"</f>
        <v>5,00</v>
      </c>
      <c r="CJ244" s="5" t="str">
        <f>"2044"</f>
        <v>2044</v>
      </c>
    </row>
    <row r="245" spans="1:88" ht="11.25" customHeight="1">
      <c r="A245" s="3" t="str">
        <f>"1.232"</f>
        <v>1.232</v>
      </c>
      <c r="B245" s="4" t="str">
        <f>"г. Грязовец, ул. Пылаевых, д.23"</f>
        <v>г. Грязовец, ул. Пылаевых, д.23</v>
      </c>
      <c r="C245" s="7" t="str">
        <f>"1996"</f>
        <v>1996</v>
      </c>
      <c r="D245" s="5" t="str">
        <f>"1996"</f>
        <v>1996</v>
      </c>
      <c r="E245" s="5" t="str">
        <f>"4,00"</f>
        <v>4,00</v>
      </c>
      <c r="F245" s="5" t="str">
        <f>"2038"</f>
        <v>2038</v>
      </c>
      <c r="G245" s="5" t="str">
        <f t="shared" si="369"/>
        <v>нет</v>
      </c>
      <c r="H245" s="5" t="str">
        <f>""</f>
        <v/>
      </c>
      <c r="I245" s="5" t="str">
        <f>""</f>
        <v/>
      </c>
      <c r="J245" s="5" t="str">
        <f>""</f>
        <v/>
      </c>
      <c r="K245" s="5" t="str">
        <f t="shared" si="370"/>
        <v>нет</v>
      </c>
      <c r="L245" s="5" t="str">
        <f>""</f>
        <v/>
      </c>
      <c r="M245" s="5" t="str">
        <f>""</f>
        <v/>
      </c>
      <c r="N245" s="5" t="str">
        <f>""</f>
        <v/>
      </c>
      <c r="O245" s="8" t="str">
        <f>"1996"</f>
        <v>1996</v>
      </c>
      <c r="P245" s="5" t="str">
        <f>"5,00"</f>
        <v>5,00</v>
      </c>
      <c r="Q245" s="5" t="str">
        <f>"2038"</f>
        <v>2038</v>
      </c>
      <c r="R245" s="5" t="str">
        <f t="shared" si="386"/>
        <v>нет</v>
      </c>
      <c r="S245" s="5" t="str">
        <f t="shared" si="372"/>
        <v>х</v>
      </c>
      <c r="T245" s="5" t="str">
        <f t="shared" si="372"/>
        <v>х</v>
      </c>
      <c r="U245" s="5" t="str">
        <f t="shared" si="372"/>
        <v>х</v>
      </c>
      <c r="V245" s="5" t="str">
        <f t="shared" si="387"/>
        <v>нет</v>
      </c>
      <c r="W245" s="5" t="str">
        <f t="shared" si="373"/>
        <v>х</v>
      </c>
      <c r="X245" s="5" t="str">
        <f t="shared" si="373"/>
        <v>х</v>
      </c>
      <c r="Y245" s="9" t="str">
        <f t="shared" si="373"/>
        <v>х</v>
      </c>
      <c r="Z245" s="5" t="str">
        <f>"1996"</f>
        <v>1996</v>
      </c>
      <c r="AA245" s="5" t="str">
        <f>"3,00"</f>
        <v>3,00</v>
      </c>
      <c r="AB245" s="5" t="str">
        <f>"2040"</f>
        <v>2040</v>
      </c>
      <c r="AC245" s="5" t="str">
        <f t="shared" si="402"/>
        <v>нет</v>
      </c>
      <c r="AD245" s="5" t="str">
        <f>""</f>
        <v/>
      </c>
      <c r="AE245" s="5" t="str">
        <f>""</f>
        <v/>
      </c>
      <c r="AF245" s="5" t="str">
        <f>""</f>
        <v/>
      </c>
      <c r="AG245" s="5" t="str">
        <f t="shared" si="403"/>
        <v>нет</v>
      </c>
      <c r="AH245" s="5" t="str">
        <f>""</f>
        <v/>
      </c>
      <c r="AI245" s="5" t="str">
        <f>""</f>
        <v/>
      </c>
      <c r="AJ245" s="5" t="str">
        <f>""</f>
        <v/>
      </c>
      <c r="AK245" s="8" t="str">
        <f>"1996"</f>
        <v>1996</v>
      </c>
      <c r="AL245" s="5" t="str">
        <f>"4,50"</f>
        <v>4,50</v>
      </c>
      <c r="AM245" s="5" t="str">
        <f>"2040"</f>
        <v>2040</v>
      </c>
      <c r="AN245" s="5" t="str">
        <f t="shared" si="388"/>
        <v>нет</v>
      </c>
      <c r="AO245" s="5" t="str">
        <f t="shared" si="376"/>
        <v>х</v>
      </c>
      <c r="AP245" s="5" t="str">
        <f t="shared" si="376"/>
        <v>х</v>
      </c>
      <c r="AQ245" s="5" t="str">
        <f t="shared" si="376"/>
        <v>х</v>
      </c>
      <c r="AR245" s="5" t="str">
        <f>"нет"</f>
        <v>нет</v>
      </c>
      <c r="AS245" s="5" t="str">
        <f t="shared" si="377"/>
        <v>х</v>
      </c>
      <c r="AT245" s="5" t="str">
        <f t="shared" si="377"/>
        <v>х</v>
      </c>
      <c r="AU245" s="5" t="str">
        <f t="shared" si="377"/>
        <v>х</v>
      </c>
      <c r="AV245" s="5" t="str">
        <f>"1996"</f>
        <v>1996</v>
      </c>
      <c r="AW245" s="5" t="str">
        <f>"4,00"</f>
        <v>4,00</v>
      </c>
      <c r="AX245" s="5" t="str">
        <f>"2040"</f>
        <v>2040</v>
      </c>
      <c r="AY245" s="5" t="str">
        <f t="shared" si="390"/>
        <v>нет</v>
      </c>
      <c r="AZ245" s="5" t="str">
        <f t="shared" si="378"/>
        <v>х</v>
      </c>
      <c r="BA245" s="5" t="str">
        <f t="shared" si="378"/>
        <v>х</v>
      </c>
      <c r="BB245" s="5" t="str">
        <f t="shared" si="378"/>
        <v>х</v>
      </c>
      <c r="BC245" s="5" t="str">
        <f t="shared" si="404"/>
        <v>нет</v>
      </c>
      <c r="BD245" s="5" t="str">
        <f t="shared" si="379"/>
        <v>х</v>
      </c>
      <c r="BE245" s="5" t="str">
        <f t="shared" si="379"/>
        <v>х</v>
      </c>
      <c r="BF245" s="5" t="str">
        <f t="shared" si="379"/>
        <v>х</v>
      </c>
      <c r="BG245" s="5" t="str">
        <f>"1996"</f>
        <v>1996</v>
      </c>
      <c r="BH245" s="5" t="str">
        <f>"6,00"</f>
        <v>6,00</v>
      </c>
      <c r="BI245" s="5" t="str">
        <f>"2038"</f>
        <v>2038</v>
      </c>
      <c r="BJ245" s="5" t="str">
        <f t="shared" si="392"/>
        <v>нет</v>
      </c>
      <c r="BK245" s="5" t="str">
        <f t="shared" si="380"/>
        <v>х</v>
      </c>
      <c r="BL245" s="5" t="str">
        <f t="shared" si="380"/>
        <v>х</v>
      </c>
      <c r="BM245" s="5" t="str">
        <f t="shared" si="380"/>
        <v>х</v>
      </c>
      <c r="BN245" s="5" t="str">
        <f t="shared" si="405"/>
        <v>нет</v>
      </c>
      <c r="BO245" s="5" t="str">
        <f t="shared" si="381"/>
        <v>х</v>
      </c>
      <c r="BP245" s="5" t="str">
        <f t="shared" si="381"/>
        <v>х</v>
      </c>
      <c r="BQ245" s="5" t="str">
        <f t="shared" si="381"/>
        <v>х</v>
      </c>
      <c r="BR245" s="5" t="str">
        <f>"1996"</f>
        <v>1996</v>
      </c>
      <c r="BS245" s="5" t="str">
        <f>"7,00"</f>
        <v>7,00</v>
      </c>
      <c r="BT245" s="5" t="str">
        <f>"2038"</f>
        <v>2038</v>
      </c>
      <c r="BU245" s="5" t="str">
        <f t="shared" si="339"/>
        <v>нет</v>
      </c>
      <c r="BV245" s="5" t="str">
        <f t="shared" si="394"/>
        <v>x</v>
      </c>
      <c r="BW245" s="5" t="str">
        <f t="shared" si="394"/>
        <v>x</v>
      </c>
      <c r="BX245" s="5" t="str">
        <f t="shared" si="394"/>
        <v>x</v>
      </c>
      <c r="BY245" s="5" t="str">
        <f t="shared" si="395"/>
        <v>нет</v>
      </c>
      <c r="BZ245" s="5" t="str">
        <f>"1996"</f>
        <v>1996</v>
      </c>
      <c r="CA245" s="5" t="str">
        <f>"8,00"</f>
        <v>8,00</v>
      </c>
      <c r="CB245" s="5" t="str">
        <f>"2038"</f>
        <v>2038</v>
      </c>
      <c r="CC245" s="5" t="str">
        <f>"1996"</f>
        <v>1996</v>
      </c>
      <c r="CD245" s="5" t="str">
        <f>"7,50"</f>
        <v>7,50</v>
      </c>
      <c r="CE245" s="5" t="str">
        <f>"2038"</f>
        <v>2038</v>
      </c>
      <c r="CF245" s="5" t="str">
        <f>"1996"</f>
        <v>1996</v>
      </c>
      <c r="CG245" s="5" t="str">
        <f>"8,00"</f>
        <v>8,00</v>
      </c>
      <c r="CH245" s="5" t="str">
        <f>"2038"</f>
        <v>2038</v>
      </c>
      <c r="CI245" s="5" t="str">
        <f>"8,00"</f>
        <v>8,00</v>
      </c>
      <c r="CJ245" s="5" t="str">
        <f>"2044"</f>
        <v>2044</v>
      </c>
    </row>
    <row r="246" spans="1:88" ht="11.25" customHeight="1">
      <c r="A246" s="3" t="str">
        <f>"1.233"</f>
        <v>1.233</v>
      </c>
      <c r="B246" s="4" t="str">
        <f>"г. Грязовец, ул. Пылаевых, д.25"</f>
        <v>г. Грязовец, ул. Пылаевых, д.25</v>
      </c>
      <c r="C246" s="7" t="str">
        <f>"1995"</f>
        <v>1995</v>
      </c>
      <c r="D246" s="5" t="str">
        <f>"1995"</f>
        <v>1995</v>
      </c>
      <c r="E246" s="5" t="str">
        <f>"15,00"</f>
        <v>15,00</v>
      </c>
      <c r="F246" s="5" t="str">
        <f>"2025"</f>
        <v>2025</v>
      </c>
      <c r="G246" s="5" t="str">
        <f t="shared" si="369"/>
        <v>нет</v>
      </c>
      <c r="H246" s="5" t="str">
        <f>""</f>
        <v/>
      </c>
      <c r="I246" s="5" t="str">
        <f>""</f>
        <v/>
      </c>
      <c r="J246" s="5" t="str">
        <f>""</f>
        <v/>
      </c>
      <c r="K246" s="5" t="str">
        <f t="shared" si="370"/>
        <v>нет</v>
      </c>
      <c r="L246" s="5" t="str">
        <f>""</f>
        <v/>
      </c>
      <c r="M246" s="5" t="str">
        <f>""</f>
        <v/>
      </c>
      <c r="N246" s="5" t="str">
        <f>""</f>
        <v/>
      </c>
      <c r="O246" s="8" t="str">
        <f>"1995"</f>
        <v>1995</v>
      </c>
      <c r="P246" s="5" t="str">
        <f>"10,00"</f>
        <v>10,00</v>
      </c>
      <c r="Q246" s="5" t="str">
        <f>"2026"</f>
        <v>2026</v>
      </c>
      <c r="R246" s="5" t="str">
        <f t="shared" si="386"/>
        <v>нет</v>
      </c>
      <c r="S246" s="5" t="str">
        <f>""</f>
        <v/>
      </c>
      <c r="T246" s="5" t="str">
        <f>""</f>
        <v/>
      </c>
      <c r="U246" s="5" t="str">
        <f>""</f>
        <v/>
      </c>
      <c r="V246" s="5" t="str">
        <f t="shared" si="387"/>
        <v>нет</v>
      </c>
      <c r="W246" s="5" t="str">
        <f>""</f>
        <v/>
      </c>
      <c r="X246" s="5" t="str">
        <f>""</f>
        <v/>
      </c>
      <c r="Y246" s="9" t="str">
        <f>""</f>
        <v/>
      </c>
      <c r="Z246" s="5" t="str">
        <f>"1995"</f>
        <v>1995</v>
      </c>
      <c r="AA246" s="5" t="str">
        <f>"11,00"</f>
        <v>11,00</v>
      </c>
      <c r="AB246" s="5" t="str">
        <f>"2031"</f>
        <v>2031</v>
      </c>
      <c r="AC246" s="5" t="str">
        <f t="shared" si="402"/>
        <v>нет</v>
      </c>
      <c r="AD246" s="5" t="str">
        <f>""</f>
        <v/>
      </c>
      <c r="AE246" s="5" t="str">
        <f>""</f>
        <v/>
      </c>
      <c r="AF246" s="5" t="str">
        <f>""</f>
        <v/>
      </c>
      <c r="AG246" s="5" t="str">
        <f t="shared" si="403"/>
        <v>нет</v>
      </c>
      <c r="AH246" s="5" t="str">
        <f>""</f>
        <v/>
      </c>
      <c r="AI246" s="5" t="str">
        <f>""</f>
        <v/>
      </c>
      <c r="AJ246" s="5" t="str">
        <f>""</f>
        <v/>
      </c>
      <c r="AK246" s="8" t="str">
        <f>"1995"</f>
        <v>1995</v>
      </c>
      <c r="AL246" s="5" t="str">
        <f>"9,00"</f>
        <v>9,00</v>
      </c>
      <c r="AM246" s="5" t="str">
        <f>"2033"</f>
        <v>2033</v>
      </c>
      <c r="AN246" s="5" t="str">
        <f>"да"</f>
        <v>да</v>
      </c>
      <c r="AO246" s="5" t="str">
        <f>""</f>
        <v/>
      </c>
      <c r="AP246" s="5" t="str">
        <f>"7,00"</f>
        <v>7,00</v>
      </c>
      <c r="AQ246" s="5" t="str">
        <f>"2035"</f>
        <v>2035</v>
      </c>
      <c r="AR246" s="5" t="str">
        <f>"нет"</f>
        <v>нет</v>
      </c>
      <c r="AS246" s="5" t="str">
        <f>""</f>
        <v/>
      </c>
      <c r="AT246" s="5" t="str">
        <f>""</f>
        <v/>
      </c>
      <c r="AU246" s="5" t="str">
        <f>""</f>
        <v/>
      </c>
      <c r="AV246" s="5" t="str">
        <f>"1995"</f>
        <v>1995</v>
      </c>
      <c r="AW246" s="5" t="str">
        <f>"10,00"</f>
        <v>10,00</v>
      </c>
      <c r="AX246" s="5" t="str">
        <f>"2032"</f>
        <v>2032</v>
      </c>
      <c r="AY246" s="5" t="str">
        <f>"да"</f>
        <v>да</v>
      </c>
      <c r="AZ246" s="5" t="str">
        <f>""</f>
        <v/>
      </c>
      <c r="BA246" s="5" t="str">
        <f>"7,00"</f>
        <v>7,00</v>
      </c>
      <c r="BB246" s="5" t="str">
        <f>"2035"</f>
        <v>2035</v>
      </c>
      <c r="BC246" s="5" t="str">
        <f t="shared" si="404"/>
        <v>нет</v>
      </c>
      <c r="BD246" s="5" t="str">
        <f>""</f>
        <v/>
      </c>
      <c r="BE246" s="5" t="str">
        <f>""</f>
        <v/>
      </c>
      <c r="BF246" s="5" t="str">
        <f>""</f>
        <v/>
      </c>
      <c r="BG246" s="5" t="str">
        <f>"1995"</f>
        <v>1995</v>
      </c>
      <c r="BH246" s="5" t="str">
        <f>"10,00"</f>
        <v>10,00</v>
      </c>
      <c r="BI246" s="5" t="str">
        <f>"2030"</f>
        <v>2030</v>
      </c>
      <c r="BJ246" s="5" t="str">
        <f>"да"</f>
        <v>да</v>
      </c>
      <c r="BK246" s="5" t="str">
        <f>""</f>
        <v/>
      </c>
      <c r="BL246" s="5" t="str">
        <f>"6,00"</f>
        <v>6,00</v>
      </c>
      <c r="BM246" s="5" t="str">
        <f>"2035"</f>
        <v>2035</v>
      </c>
      <c r="BN246" s="5" t="str">
        <f t="shared" si="405"/>
        <v>нет</v>
      </c>
      <c r="BO246" s="5" t="str">
        <f>""</f>
        <v/>
      </c>
      <c r="BP246" s="5" t="str">
        <f>""</f>
        <v/>
      </c>
      <c r="BQ246" s="5" t="str">
        <f>""</f>
        <v/>
      </c>
      <c r="BR246" s="5" t="str">
        <f>"1995"</f>
        <v>1995</v>
      </c>
      <c r="BS246" s="5" t="str">
        <f>"15,00"</f>
        <v>15,00</v>
      </c>
      <c r="BT246" s="5" t="str">
        <f>"2022"</f>
        <v>2022</v>
      </c>
      <c r="BU246" s="5" t="str">
        <f t="shared" si="339"/>
        <v>нет</v>
      </c>
      <c r="BV246" s="5" t="str">
        <f t="shared" si="394"/>
        <v>x</v>
      </c>
      <c r="BW246" s="5" t="str">
        <f t="shared" si="394"/>
        <v>x</v>
      </c>
      <c r="BX246" s="5" t="str">
        <f t="shared" si="394"/>
        <v>x</v>
      </c>
      <c r="BY246" s="5" t="str">
        <f t="shared" si="395"/>
        <v>нет</v>
      </c>
      <c r="BZ246" s="5" t="str">
        <f>"1995"</f>
        <v>1995</v>
      </c>
      <c r="CA246" s="5" t="str">
        <f>"11,00"</f>
        <v>11,00</v>
      </c>
      <c r="CB246" s="5" t="str">
        <f>"2029"</f>
        <v>2029</v>
      </c>
      <c r="CC246" s="5" t="str">
        <f>"1995"</f>
        <v>1995</v>
      </c>
      <c r="CD246" s="5" t="str">
        <f>"12,00"</f>
        <v>12,00</v>
      </c>
      <c r="CE246" s="5" t="str">
        <f>"2031"</f>
        <v>2031</v>
      </c>
      <c r="CF246" s="5" t="str">
        <f>"1995"</f>
        <v>1995</v>
      </c>
      <c r="CG246" s="5" t="str">
        <f>"12,00"</f>
        <v>12,00</v>
      </c>
      <c r="CH246" s="5" t="str">
        <f>"2030"</f>
        <v>2030</v>
      </c>
      <c r="CI246" s="5" t="str">
        <f>"12,00"</f>
        <v>12,00</v>
      </c>
      <c r="CJ246" s="5" t="str">
        <f>"2035"</f>
        <v>2035</v>
      </c>
    </row>
    <row r="247" spans="1:88" ht="11.25" customHeight="1">
      <c r="A247" s="3" t="str">
        <f>"1.234"</f>
        <v>1.234</v>
      </c>
      <c r="B247" s="4" t="str">
        <f>"г. Грязовец, ул. Пылаевых, д.29"</f>
        <v>г. Грязовец, ул. Пылаевых, д.29</v>
      </c>
      <c r="C247" s="7" t="str">
        <f>"1976"</f>
        <v>1976</v>
      </c>
      <c r="D247" s="5" t="str">
        <f>"1976"</f>
        <v>1976</v>
      </c>
      <c r="E247" s="5" t="str">
        <f>"26,00"</f>
        <v>26,00</v>
      </c>
      <c r="F247" s="5" t="str">
        <f>"2030"</f>
        <v>2030</v>
      </c>
      <c r="G247" s="5" t="str">
        <f t="shared" si="369"/>
        <v>нет</v>
      </c>
      <c r="H247" s="5" t="str">
        <f>""</f>
        <v/>
      </c>
      <c r="I247" s="5" t="str">
        <f>""</f>
        <v/>
      </c>
      <c r="J247" s="5" t="str">
        <f>""</f>
        <v/>
      </c>
      <c r="K247" s="5" t="str">
        <f t="shared" si="370"/>
        <v>нет</v>
      </c>
      <c r="L247" s="5" t="str">
        <f>""</f>
        <v/>
      </c>
      <c r="M247" s="5" t="str">
        <f>""</f>
        <v/>
      </c>
      <c r="N247" s="5" t="str">
        <f>""</f>
        <v/>
      </c>
      <c r="O247" s="8" t="str">
        <f>"1976"</f>
        <v>1976</v>
      </c>
      <c r="P247" s="5" t="str">
        <f>"28,00"</f>
        <v>28,00</v>
      </c>
      <c r="Q247" s="5" t="str">
        <f>"2033"</f>
        <v>2033</v>
      </c>
      <c r="R247" s="5" t="str">
        <f t="shared" si="386"/>
        <v>нет</v>
      </c>
      <c r="S247" s="5" t="str">
        <f>"х"</f>
        <v>х</v>
      </c>
      <c r="T247" s="5" t="str">
        <f>"х"</f>
        <v>х</v>
      </c>
      <c r="U247" s="5" t="str">
        <f>"х"</f>
        <v>х</v>
      </c>
      <c r="V247" s="5" t="str">
        <f t="shared" si="387"/>
        <v>нет</v>
      </c>
      <c r="W247" s="5" t="str">
        <f>"х"</f>
        <v>х</v>
      </c>
      <c r="X247" s="5" t="str">
        <f>"х"</f>
        <v>х</v>
      </c>
      <c r="Y247" s="9" t="str">
        <f>"х"</f>
        <v>х</v>
      </c>
      <c r="Z247" s="5" t="str">
        <f>"1976"</f>
        <v>1976</v>
      </c>
      <c r="AA247" s="5" t="str">
        <f>"24,00"</f>
        <v>24,00</v>
      </c>
      <c r="AB247" s="5" t="str">
        <f>"2030"</f>
        <v>2030</v>
      </c>
      <c r="AC247" s="5" t="str">
        <f t="shared" si="402"/>
        <v>нет</v>
      </c>
      <c r="AD247" s="5" t="str">
        <f>"х"</f>
        <v>х</v>
      </c>
      <c r="AE247" s="5" t="str">
        <f>"х"</f>
        <v>х</v>
      </c>
      <c r="AF247" s="5" t="str">
        <f>"х"</f>
        <v>х</v>
      </c>
      <c r="AG247" s="5" t="str">
        <f t="shared" si="403"/>
        <v>нет</v>
      </c>
      <c r="AH247" s="5" t="str">
        <f>"х"</f>
        <v>х</v>
      </c>
      <c r="AI247" s="5" t="str">
        <f>"х"</f>
        <v>х</v>
      </c>
      <c r="AJ247" s="5" t="str">
        <f>"х"</f>
        <v>х</v>
      </c>
      <c r="AK247" s="8" t="str">
        <f>"1976"</f>
        <v>1976</v>
      </c>
      <c r="AL247" s="5" t="str">
        <f>"28,00"</f>
        <v>28,00</v>
      </c>
      <c r="AM247" s="5" t="str">
        <f>"2033"</f>
        <v>2033</v>
      </c>
      <c r="AN247" s="5" t="str">
        <f t="shared" ref="AN247:AN257" si="406">"нет"</f>
        <v>нет</v>
      </c>
      <c r="AO247" s="5" t="str">
        <f>"х"</f>
        <v>х</v>
      </c>
      <c r="AP247" s="5" t="str">
        <f>"х"</f>
        <v>х</v>
      </c>
      <c r="AQ247" s="5" t="str">
        <f>"х"</f>
        <v>х</v>
      </c>
      <c r="AR247" s="5" t="str">
        <f>"нет"</f>
        <v>нет</v>
      </c>
      <c r="AS247" s="5" t="str">
        <f>"х"</f>
        <v>х</v>
      </c>
      <c r="AT247" s="5" t="str">
        <f>"х"</f>
        <v>х</v>
      </c>
      <c r="AU247" s="5" t="str">
        <f>"х"</f>
        <v>х</v>
      </c>
      <c r="AV247" s="5" t="str">
        <f>"1976"</f>
        <v>1976</v>
      </c>
      <c r="AW247" s="5" t="str">
        <f>"24,00"</f>
        <v>24,00</v>
      </c>
      <c r="AX247" s="5" t="str">
        <f>"2027"</f>
        <v>2027</v>
      </c>
      <c r="AY247" s="5" t="str">
        <f t="shared" ref="AY247:AY257" si="407">"нет"</f>
        <v>нет</v>
      </c>
      <c r="AZ247" s="5" t="str">
        <f>"х"</f>
        <v>х</v>
      </c>
      <c r="BA247" s="5" t="str">
        <f>"х"</f>
        <v>х</v>
      </c>
      <c r="BB247" s="5" t="str">
        <f>"х"</f>
        <v>х</v>
      </c>
      <c r="BC247" s="5" t="str">
        <f t="shared" si="404"/>
        <v>нет</v>
      </c>
      <c r="BD247" s="5" t="str">
        <f>"х"</f>
        <v>х</v>
      </c>
      <c r="BE247" s="5" t="str">
        <f>"х"</f>
        <v>х</v>
      </c>
      <c r="BF247" s="5" t="str">
        <f>"х"</f>
        <v>х</v>
      </c>
      <c r="BG247" s="5" t="str">
        <f>"1976"</f>
        <v>1976</v>
      </c>
      <c r="BH247" s="5" t="str">
        <f>"31,00"</f>
        <v>31,00</v>
      </c>
      <c r="BI247" s="5" t="str">
        <f>"2023"</f>
        <v>2023</v>
      </c>
      <c r="BJ247" s="5" t="str">
        <f t="shared" ref="BJ247:BJ259" si="408">"нет"</f>
        <v>нет</v>
      </c>
      <c r="BK247" s="5" t="str">
        <f>"х"</f>
        <v>х</v>
      </c>
      <c r="BL247" s="5" t="str">
        <f>"х"</f>
        <v>х</v>
      </c>
      <c r="BM247" s="5" t="str">
        <f>"х"</f>
        <v>х</v>
      </c>
      <c r="BN247" s="5" t="str">
        <f t="shared" si="405"/>
        <v>нет</v>
      </c>
      <c r="BO247" s="5" t="str">
        <f>"х"</f>
        <v>х</v>
      </c>
      <c r="BP247" s="5" t="str">
        <f>"х"</f>
        <v>х</v>
      </c>
      <c r="BQ247" s="5" t="str">
        <f>"х"</f>
        <v>х</v>
      </c>
      <c r="BR247" s="5" t="str">
        <f>"1976"</f>
        <v>1976</v>
      </c>
      <c r="BS247" s="5" t="str">
        <f>"34,00"</f>
        <v>34,00</v>
      </c>
      <c r="BT247" s="5" t="str">
        <f>"2023"</f>
        <v>2023</v>
      </c>
      <c r="BU247" s="5" t="str">
        <f t="shared" si="339"/>
        <v>нет</v>
      </c>
      <c r="BV247" s="5" t="str">
        <f t="shared" si="394"/>
        <v>x</v>
      </c>
      <c r="BW247" s="5" t="str">
        <f t="shared" si="394"/>
        <v>x</v>
      </c>
      <c r="BX247" s="5" t="str">
        <f t="shared" si="394"/>
        <v>x</v>
      </c>
      <c r="BY247" s="5" t="str">
        <f t="shared" si="395"/>
        <v>нет</v>
      </c>
      <c r="BZ247" s="5" t="str">
        <f>"1976"</f>
        <v>1976</v>
      </c>
      <c r="CA247" s="5" t="str">
        <f>"35,00"</f>
        <v>35,00</v>
      </c>
      <c r="CB247" s="5" t="str">
        <f>"2021"</f>
        <v>2021</v>
      </c>
      <c r="CC247" s="5" t="str">
        <f>"1976"</f>
        <v>1976</v>
      </c>
      <c r="CD247" s="5" t="str">
        <f>"33,00"</f>
        <v>33,00</v>
      </c>
      <c r="CE247" s="5" t="str">
        <f>"2024"</f>
        <v>2024</v>
      </c>
      <c r="CF247" s="5" t="str">
        <f>"1976"</f>
        <v>1976</v>
      </c>
      <c r="CG247" s="5" t="str">
        <f>"35,00"</f>
        <v>35,00</v>
      </c>
      <c r="CH247" s="5" t="str">
        <f>"2022"</f>
        <v>2022</v>
      </c>
      <c r="CI247" s="5" t="str">
        <f>"35,00"</f>
        <v>35,00</v>
      </c>
      <c r="CJ247" s="5" t="str">
        <f>"2034"</f>
        <v>2034</v>
      </c>
    </row>
    <row r="248" spans="1:88" ht="11.25" customHeight="1">
      <c r="A248" s="3" t="str">
        <f>"1.235"</f>
        <v>1.235</v>
      </c>
      <c r="B248" s="4" t="str">
        <f>"г. Грязовец, ул. Пылаевых, д.46"</f>
        <v>г. Грязовец, ул. Пылаевых, д.46</v>
      </c>
      <c r="C248" s="7" t="str">
        <f>"1988"</f>
        <v>1988</v>
      </c>
      <c r="D248" s="5" t="str">
        <f>""</f>
        <v/>
      </c>
      <c r="E248" s="5" t="str">
        <f>"20,00"</f>
        <v>20,00</v>
      </c>
      <c r="F248" s="5" t="str">
        <f>"2035"</f>
        <v>2035</v>
      </c>
      <c r="G248" s="5" t="str">
        <f t="shared" si="369"/>
        <v>нет</v>
      </c>
      <c r="H248" s="5" t="str">
        <f>""</f>
        <v/>
      </c>
      <c r="I248" s="5" t="str">
        <f>""</f>
        <v/>
      </c>
      <c r="J248" s="5" t="str">
        <f>""</f>
        <v/>
      </c>
      <c r="K248" s="5" t="str">
        <f t="shared" si="370"/>
        <v>нет</v>
      </c>
      <c r="L248" s="5" t="str">
        <f>""</f>
        <v/>
      </c>
      <c r="M248" s="5" t="str">
        <f>""</f>
        <v/>
      </c>
      <c r="N248" s="5" t="str">
        <f>""</f>
        <v/>
      </c>
      <c r="O248" s="8" t="str">
        <f>""</f>
        <v/>
      </c>
      <c r="P248" s="5" t="str">
        <f>"20,00"</f>
        <v>20,00</v>
      </c>
      <c r="Q248" s="5" t="str">
        <f>"2036"</f>
        <v>2036</v>
      </c>
      <c r="R248" s="5" t="str">
        <f t="shared" si="386"/>
        <v>нет</v>
      </c>
      <c r="S248" s="5" t="str">
        <f>""</f>
        <v/>
      </c>
      <c r="T248" s="5" t="str">
        <f>""</f>
        <v/>
      </c>
      <c r="U248" s="5" t="str">
        <f>""</f>
        <v/>
      </c>
      <c r="V248" s="5" t="str">
        <f t="shared" si="387"/>
        <v>нет</v>
      </c>
      <c r="W248" s="5" t="str">
        <f>""</f>
        <v/>
      </c>
      <c r="X248" s="5" t="str">
        <f>""</f>
        <v/>
      </c>
      <c r="Y248" s="9" t="str">
        <f>""</f>
        <v/>
      </c>
      <c r="Z248" s="5" t="str">
        <f>""</f>
        <v/>
      </c>
      <c r="AA248" s="5" t="str">
        <f>"15,00"</f>
        <v>15,00</v>
      </c>
      <c r="AB248" s="5" t="str">
        <f>"2039"</f>
        <v>2039</v>
      </c>
      <c r="AC248" s="5" t="str">
        <f t="shared" si="402"/>
        <v>нет</v>
      </c>
      <c r="AD248" s="5" t="str">
        <f>""</f>
        <v/>
      </c>
      <c r="AE248" s="5" t="str">
        <f>""</f>
        <v/>
      </c>
      <c r="AF248" s="5" t="str">
        <f>""</f>
        <v/>
      </c>
      <c r="AG248" s="5" t="str">
        <f t="shared" si="403"/>
        <v>нет</v>
      </c>
      <c r="AH248" s="5" t="str">
        <f>""</f>
        <v/>
      </c>
      <c r="AI248" s="5" t="str">
        <f>""</f>
        <v/>
      </c>
      <c r="AJ248" s="5" t="str">
        <f>""</f>
        <v/>
      </c>
      <c r="AK248" s="8" t="str">
        <f>""</f>
        <v/>
      </c>
      <c r="AL248" s="5" t="str">
        <f>"20,00"</f>
        <v>20,00</v>
      </c>
      <c r="AM248" s="5" t="str">
        <f>"2034"</f>
        <v>2034</v>
      </c>
      <c r="AN248" s="5" t="str">
        <f t="shared" si="406"/>
        <v>нет</v>
      </c>
      <c r="AO248" s="5" t="str">
        <f>""</f>
        <v/>
      </c>
      <c r="AP248" s="5" t="str">
        <f>""</f>
        <v/>
      </c>
      <c r="AQ248" s="5" t="str">
        <f>""</f>
        <v/>
      </c>
      <c r="AR248" s="5" t="str">
        <f>"нет"</f>
        <v>нет</v>
      </c>
      <c r="AS248" s="5" t="str">
        <f>""</f>
        <v/>
      </c>
      <c r="AT248" s="5" t="str">
        <f>""</f>
        <v/>
      </c>
      <c r="AU248" s="5" t="str">
        <f>""</f>
        <v/>
      </c>
      <c r="AV248" s="5" t="str">
        <f>""</f>
        <v/>
      </c>
      <c r="AW248" s="5" t="str">
        <f>"20,00"</f>
        <v>20,00</v>
      </c>
      <c r="AX248" s="5" t="str">
        <f>"2034"</f>
        <v>2034</v>
      </c>
      <c r="AY248" s="5" t="str">
        <f t="shared" si="407"/>
        <v>нет</v>
      </c>
      <c r="AZ248" s="5" t="str">
        <f>""</f>
        <v/>
      </c>
      <c r="BA248" s="5" t="str">
        <f>""</f>
        <v/>
      </c>
      <c r="BB248" s="5" t="str">
        <f>""</f>
        <v/>
      </c>
      <c r="BC248" s="5" t="str">
        <f t="shared" si="404"/>
        <v>нет</v>
      </c>
      <c r="BD248" s="5" t="str">
        <f>""</f>
        <v/>
      </c>
      <c r="BE248" s="5" t="str">
        <f>""</f>
        <v/>
      </c>
      <c r="BF248" s="5" t="str">
        <f>""</f>
        <v/>
      </c>
      <c r="BG248" s="5" t="str">
        <f>""</f>
        <v/>
      </c>
      <c r="BH248" s="5" t="str">
        <f>"20,00"</f>
        <v>20,00</v>
      </c>
      <c r="BI248" s="5" t="str">
        <f>"2033"</f>
        <v>2033</v>
      </c>
      <c r="BJ248" s="5" t="str">
        <f t="shared" si="408"/>
        <v>нет</v>
      </c>
      <c r="BK248" s="5" t="str">
        <f>""</f>
        <v/>
      </c>
      <c r="BL248" s="5" t="str">
        <f>""</f>
        <v/>
      </c>
      <c r="BM248" s="5" t="str">
        <f>""</f>
        <v/>
      </c>
      <c r="BN248" s="5" t="str">
        <f t="shared" si="405"/>
        <v>нет</v>
      </c>
      <c r="BO248" s="5" t="str">
        <f>""</f>
        <v/>
      </c>
      <c r="BP248" s="5" t="str">
        <f>""</f>
        <v/>
      </c>
      <c r="BQ248" s="5" t="str">
        <f>""</f>
        <v/>
      </c>
      <c r="BR248" s="5" t="str">
        <f>""</f>
        <v/>
      </c>
      <c r="BS248" s="5" t="str">
        <f>"20,00"</f>
        <v>20,00</v>
      </c>
      <c r="BT248" s="5" t="str">
        <f>"2033"</f>
        <v>2033</v>
      </c>
      <c r="BU248" s="5" t="str">
        <f t="shared" si="339"/>
        <v>нет</v>
      </c>
      <c r="BV248" s="5" t="str">
        <f t="shared" si="394"/>
        <v>x</v>
      </c>
      <c r="BW248" s="5" t="str">
        <f t="shared" si="394"/>
        <v>x</v>
      </c>
      <c r="BX248" s="5" t="str">
        <f t="shared" si="394"/>
        <v>x</v>
      </c>
      <c r="BY248" s="5" t="str">
        <f t="shared" si="395"/>
        <v>нет</v>
      </c>
      <c r="BZ248" s="5" t="str">
        <f>"x"</f>
        <v>x</v>
      </c>
      <c r="CA248" s="5" t="str">
        <f>"x"</f>
        <v>x</v>
      </c>
      <c r="CB248" s="5" t="str">
        <f>"x"</f>
        <v>x</v>
      </c>
      <c r="CC248" s="5" t="str">
        <f>""</f>
        <v/>
      </c>
      <c r="CD248" s="5" t="str">
        <f>"10,00"</f>
        <v>10,00</v>
      </c>
      <c r="CE248" s="5" t="str">
        <f>"2035"</f>
        <v>2035</v>
      </c>
      <c r="CF248" s="5" t="str">
        <f>""</f>
        <v/>
      </c>
      <c r="CG248" s="5" t="str">
        <f>"10,00"</f>
        <v>10,00</v>
      </c>
      <c r="CH248" s="5" t="str">
        <f>"2036"</f>
        <v>2036</v>
      </c>
      <c r="CI248" s="5" t="str">
        <f>"20,00"</f>
        <v>20,00</v>
      </c>
      <c r="CJ248" s="5" t="str">
        <f>"2040"</f>
        <v>2040</v>
      </c>
    </row>
    <row r="249" spans="1:88" ht="11.25" customHeight="1">
      <c r="A249" s="3" t="str">
        <f>"1.236"</f>
        <v>1.236</v>
      </c>
      <c r="B249" s="4" t="str">
        <f>"г. Грязовец, ул. Пылаевых, д.48"</f>
        <v>г. Грязовец, ул. Пылаевых, д.48</v>
      </c>
      <c r="C249" s="7" t="str">
        <f>"1987"</f>
        <v>1987</v>
      </c>
      <c r="D249" s="5" t="str">
        <f>"1987"</f>
        <v>1987</v>
      </c>
      <c r="E249" s="5" t="str">
        <f>"14,00"</f>
        <v>14,00</v>
      </c>
      <c r="F249" s="5" t="str">
        <f>"2035"</f>
        <v>2035</v>
      </c>
      <c r="G249" s="5" t="str">
        <f t="shared" si="369"/>
        <v>нет</v>
      </c>
      <c r="H249" s="5" t="str">
        <f>""</f>
        <v/>
      </c>
      <c r="I249" s="5" t="str">
        <f>""</f>
        <v/>
      </c>
      <c r="J249" s="5" t="str">
        <f>""</f>
        <v/>
      </c>
      <c r="K249" s="5" t="str">
        <f t="shared" si="370"/>
        <v>нет</v>
      </c>
      <c r="L249" s="5" t="str">
        <f>""</f>
        <v/>
      </c>
      <c r="M249" s="5" t="str">
        <f>""</f>
        <v/>
      </c>
      <c r="N249" s="5" t="str">
        <f>""</f>
        <v/>
      </c>
      <c r="O249" s="8" t="str">
        <f>"1987"</f>
        <v>1987</v>
      </c>
      <c r="P249" s="5" t="str">
        <f>"15,00"</f>
        <v>15,00</v>
      </c>
      <c r="Q249" s="5" t="str">
        <f>"2035"</f>
        <v>2035</v>
      </c>
      <c r="R249" s="5" t="str">
        <f t="shared" si="386"/>
        <v>нет</v>
      </c>
      <c r="S249" s="5" t="str">
        <f t="shared" ref="S249:U251" si="409">"х"</f>
        <v>х</v>
      </c>
      <c r="T249" s="5" t="str">
        <f t="shared" si="409"/>
        <v>х</v>
      </c>
      <c r="U249" s="5" t="str">
        <f t="shared" si="409"/>
        <v>х</v>
      </c>
      <c r="V249" s="5" t="str">
        <f t="shared" si="387"/>
        <v>нет</v>
      </c>
      <c r="W249" s="5" t="str">
        <f t="shared" ref="W249:Y251" si="410">"х"</f>
        <v>х</v>
      </c>
      <c r="X249" s="5" t="str">
        <f t="shared" si="410"/>
        <v>х</v>
      </c>
      <c r="Y249" s="9" t="str">
        <f t="shared" si="410"/>
        <v>х</v>
      </c>
      <c r="Z249" s="5" t="str">
        <f>"1987"</f>
        <v>1987</v>
      </c>
      <c r="AA249" s="5" t="str">
        <f>"13,00"</f>
        <v>13,00</v>
      </c>
      <c r="AB249" s="5" t="str">
        <f>"2035"</f>
        <v>2035</v>
      </c>
      <c r="AC249" s="5" t="str">
        <f t="shared" si="402"/>
        <v>нет</v>
      </c>
      <c r="AD249" s="5" t="str">
        <f>""</f>
        <v/>
      </c>
      <c r="AE249" s="5" t="str">
        <f>""</f>
        <v/>
      </c>
      <c r="AF249" s="5" t="str">
        <f>""</f>
        <v/>
      </c>
      <c r="AG249" s="5" t="str">
        <f t="shared" si="403"/>
        <v>нет</v>
      </c>
      <c r="AH249" s="5" t="str">
        <f>""</f>
        <v/>
      </c>
      <c r="AI249" s="5" t="str">
        <f>""</f>
        <v/>
      </c>
      <c r="AJ249" s="5" t="str">
        <f>""</f>
        <v/>
      </c>
      <c r="AK249" s="8" t="str">
        <f>"1987"</f>
        <v>1987</v>
      </c>
      <c r="AL249" s="5" t="str">
        <f>"16,00"</f>
        <v>16,00</v>
      </c>
      <c r="AM249" s="5" t="str">
        <f>"2035"</f>
        <v>2035</v>
      </c>
      <c r="AN249" s="5" t="str">
        <f t="shared" si="406"/>
        <v>нет</v>
      </c>
      <c r="AO249" s="5" t="str">
        <f t="shared" ref="AO249:AU249" si="411">"х"</f>
        <v>х</v>
      </c>
      <c r="AP249" s="5" t="str">
        <f t="shared" si="411"/>
        <v>х</v>
      </c>
      <c r="AQ249" s="5" t="str">
        <f t="shared" si="411"/>
        <v>х</v>
      </c>
      <c r="AR249" s="5" t="str">
        <f t="shared" si="411"/>
        <v>х</v>
      </c>
      <c r="AS249" s="5" t="str">
        <f t="shared" si="411"/>
        <v>х</v>
      </c>
      <c r="AT249" s="5" t="str">
        <f t="shared" si="411"/>
        <v>х</v>
      </c>
      <c r="AU249" s="5" t="str">
        <f t="shared" si="411"/>
        <v>х</v>
      </c>
      <c r="AV249" s="5" t="str">
        <f>"1987"</f>
        <v>1987</v>
      </c>
      <c r="AW249" s="5" t="str">
        <f>"16,00"</f>
        <v>16,00</v>
      </c>
      <c r="AX249" s="5" t="str">
        <f>"2035"</f>
        <v>2035</v>
      </c>
      <c r="AY249" s="5" t="str">
        <f t="shared" si="407"/>
        <v>нет</v>
      </c>
      <c r="AZ249" s="5" t="str">
        <f t="shared" ref="AZ249:BB251" si="412">"х"</f>
        <v>х</v>
      </c>
      <c r="BA249" s="5" t="str">
        <f t="shared" si="412"/>
        <v>х</v>
      </c>
      <c r="BB249" s="5" t="str">
        <f t="shared" si="412"/>
        <v>х</v>
      </c>
      <c r="BC249" s="5" t="str">
        <f t="shared" si="404"/>
        <v>нет</v>
      </c>
      <c r="BD249" s="5" t="str">
        <f t="shared" ref="BD249:BF251" si="413">"х"</f>
        <v>х</v>
      </c>
      <c r="BE249" s="5" t="str">
        <f t="shared" si="413"/>
        <v>х</v>
      </c>
      <c r="BF249" s="5" t="str">
        <f t="shared" si="413"/>
        <v>х</v>
      </c>
      <c r="BG249" s="5" t="str">
        <f>"1987"</f>
        <v>1987</v>
      </c>
      <c r="BH249" s="5" t="str">
        <f>"16,00"</f>
        <v>16,00</v>
      </c>
      <c r="BI249" s="5" t="str">
        <f>"2035"</f>
        <v>2035</v>
      </c>
      <c r="BJ249" s="5" t="str">
        <f t="shared" si="408"/>
        <v>нет</v>
      </c>
      <c r="BK249" s="5" t="str">
        <f t="shared" ref="BK249:BM251" si="414">"х"</f>
        <v>х</v>
      </c>
      <c r="BL249" s="5" t="str">
        <f t="shared" si="414"/>
        <v>х</v>
      </c>
      <c r="BM249" s="5" t="str">
        <f t="shared" si="414"/>
        <v>х</v>
      </c>
      <c r="BN249" s="5" t="str">
        <f t="shared" si="405"/>
        <v>нет</v>
      </c>
      <c r="BO249" s="5" t="str">
        <f t="shared" ref="BO249:BQ251" si="415">"х"</f>
        <v>х</v>
      </c>
      <c r="BP249" s="5" t="str">
        <f t="shared" si="415"/>
        <v>х</v>
      </c>
      <c r="BQ249" s="5" t="str">
        <f t="shared" si="415"/>
        <v>х</v>
      </c>
      <c r="BR249" s="5" t="str">
        <f>"1987"</f>
        <v>1987</v>
      </c>
      <c r="BS249" s="5" t="str">
        <f>"18,00"</f>
        <v>18,00</v>
      </c>
      <c r="BT249" s="5" t="str">
        <f>"2034"</f>
        <v>2034</v>
      </c>
      <c r="BU249" s="5" t="str">
        <f t="shared" si="339"/>
        <v>нет</v>
      </c>
      <c r="BV249" s="5" t="str">
        <f t="shared" si="394"/>
        <v>x</v>
      </c>
      <c r="BW249" s="5" t="str">
        <f t="shared" si="394"/>
        <v>x</v>
      </c>
      <c r="BX249" s="5" t="str">
        <f t="shared" si="394"/>
        <v>x</v>
      </c>
      <c r="BY249" s="5" t="str">
        <f t="shared" si="395"/>
        <v>нет</v>
      </c>
      <c r="BZ249" s="5" t="str">
        <f>"1987"</f>
        <v>1987</v>
      </c>
      <c r="CA249" s="5" t="str">
        <f>"19,00"</f>
        <v>19,00</v>
      </c>
      <c r="CB249" s="5" t="str">
        <f>"2033"</f>
        <v>2033</v>
      </c>
      <c r="CC249" s="5" t="str">
        <f>"1987"</f>
        <v>1987</v>
      </c>
      <c r="CD249" s="5" t="str">
        <f>"20,00"</f>
        <v>20,00</v>
      </c>
      <c r="CE249" s="5" t="str">
        <f>"2033"</f>
        <v>2033</v>
      </c>
      <c r="CF249" s="5" t="str">
        <f>"1987"</f>
        <v>1987</v>
      </c>
      <c r="CG249" s="5" t="str">
        <f>"21,00"</f>
        <v>21,00</v>
      </c>
      <c r="CH249" s="5" t="str">
        <f>"2033"</f>
        <v>2033</v>
      </c>
      <c r="CI249" s="5" t="str">
        <f>"20,00"</f>
        <v>20,00</v>
      </c>
      <c r="CJ249" s="5" t="str">
        <f>"2040"</f>
        <v>2040</v>
      </c>
    </row>
    <row r="250" spans="1:88" ht="11.25" customHeight="1">
      <c r="A250" s="3" t="str">
        <f>"1.237"</f>
        <v>1.237</v>
      </c>
      <c r="B250" s="4" t="str">
        <f>"г. Грязовец, ул. Пылаевых, д.50"</f>
        <v>г. Грязовец, ул. Пылаевых, д.50</v>
      </c>
      <c r="C250" s="7" t="str">
        <f>"1987"</f>
        <v>1987</v>
      </c>
      <c r="D250" s="5" t="str">
        <f>"1987"</f>
        <v>1987</v>
      </c>
      <c r="E250" s="5" t="str">
        <f>"17,00"</f>
        <v>17,00</v>
      </c>
      <c r="F250" s="5" t="str">
        <f>"2030"</f>
        <v>2030</v>
      </c>
      <c r="G250" s="5" t="str">
        <f t="shared" si="369"/>
        <v>нет</v>
      </c>
      <c r="H250" s="5" t="str">
        <f>""</f>
        <v/>
      </c>
      <c r="I250" s="5" t="str">
        <f>""</f>
        <v/>
      </c>
      <c r="J250" s="5" t="str">
        <f>""</f>
        <v/>
      </c>
      <c r="K250" s="5" t="str">
        <f t="shared" si="370"/>
        <v>нет</v>
      </c>
      <c r="L250" s="5" t="str">
        <f>""</f>
        <v/>
      </c>
      <c r="M250" s="5" t="str">
        <f>""</f>
        <v/>
      </c>
      <c r="N250" s="5" t="str">
        <f>""</f>
        <v/>
      </c>
      <c r="O250" s="8" t="str">
        <f>"1987"</f>
        <v>1987</v>
      </c>
      <c r="P250" s="5" t="str">
        <f>"51,00"</f>
        <v>51,00</v>
      </c>
      <c r="Q250" s="5" t="str">
        <f>"2020"</f>
        <v>2020</v>
      </c>
      <c r="R250" s="5" t="str">
        <f t="shared" si="386"/>
        <v>нет</v>
      </c>
      <c r="S250" s="5" t="str">
        <f t="shared" si="409"/>
        <v>х</v>
      </c>
      <c r="T250" s="5" t="str">
        <f t="shared" si="409"/>
        <v>х</v>
      </c>
      <c r="U250" s="5" t="str">
        <f t="shared" si="409"/>
        <v>х</v>
      </c>
      <c r="V250" s="5" t="str">
        <f t="shared" si="387"/>
        <v>нет</v>
      </c>
      <c r="W250" s="5" t="str">
        <f t="shared" si="410"/>
        <v>х</v>
      </c>
      <c r="X250" s="5" t="str">
        <f t="shared" si="410"/>
        <v>х</v>
      </c>
      <c r="Y250" s="9" t="str">
        <f t="shared" si="410"/>
        <v>х</v>
      </c>
      <c r="Z250" s="5" t="str">
        <f>"1987"</f>
        <v>1987</v>
      </c>
      <c r="AA250" s="5" t="str">
        <f>"16,00"</f>
        <v>16,00</v>
      </c>
      <c r="AB250" s="5" t="str">
        <f>"2025"</f>
        <v>2025</v>
      </c>
      <c r="AC250" s="5" t="str">
        <f t="shared" si="402"/>
        <v>нет</v>
      </c>
      <c r="AD250" s="5" t="str">
        <f>""</f>
        <v/>
      </c>
      <c r="AE250" s="5" t="str">
        <f>""</f>
        <v/>
      </c>
      <c r="AF250" s="5" t="str">
        <f>""</f>
        <v/>
      </c>
      <c r="AG250" s="5" t="str">
        <f t="shared" si="403"/>
        <v>нет</v>
      </c>
      <c r="AH250" s="5" t="str">
        <f>""</f>
        <v/>
      </c>
      <c r="AI250" s="5" t="str">
        <f>""</f>
        <v/>
      </c>
      <c r="AJ250" s="5" t="str">
        <f>""</f>
        <v/>
      </c>
      <c r="AK250" s="8" t="str">
        <f>"1987"</f>
        <v>1987</v>
      </c>
      <c r="AL250" s="5" t="str">
        <f>"15,50"</f>
        <v>15,50</v>
      </c>
      <c r="AM250" s="5" t="str">
        <f>"2027"</f>
        <v>2027</v>
      </c>
      <c r="AN250" s="5" t="str">
        <f t="shared" si="406"/>
        <v>нет</v>
      </c>
      <c r="AO250" s="5" t="str">
        <f t="shared" ref="AO250:AQ251" si="416">"х"</f>
        <v>х</v>
      </c>
      <c r="AP250" s="5" t="str">
        <f t="shared" si="416"/>
        <v>х</v>
      </c>
      <c r="AQ250" s="5" t="str">
        <f t="shared" si="416"/>
        <v>х</v>
      </c>
      <c r="AR250" s="5" t="str">
        <f t="shared" ref="AR250:AR257" si="417">"нет"</f>
        <v>нет</v>
      </c>
      <c r="AS250" s="5" t="str">
        <f t="shared" ref="AS250:AU251" si="418">"х"</f>
        <v>х</v>
      </c>
      <c r="AT250" s="5" t="str">
        <f t="shared" si="418"/>
        <v>х</v>
      </c>
      <c r="AU250" s="5" t="str">
        <f t="shared" si="418"/>
        <v>х</v>
      </c>
      <c r="AV250" s="5" t="str">
        <f>"1987"</f>
        <v>1987</v>
      </c>
      <c r="AW250" s="5" t="str">
        <f>"17,00"</f>
        <v>17,00</v>
      </c>
      <c r="AX250" s="5" t="str">
        <f>"2025"</f>
        <v>2025</v>
      </c>
      <c r="AY250" s="5" t="str">
        <f t="shared" si="407"/>
        <v>нет</v>
      </c>
      <c r="AZ250" s="5" t="str">
        <f t="shared" si="412"/>
        <v>х</v>
      </c>
      <c r="BA250" s="5" t="str">
        <f t="shared" si="412"/>
        <v>х</v>
      </c>
      <c r="BB250" s="5" t="str">
        <f t="shared" si="412"/>
        <v>х</v>
      </c>
      <c r="BC250" s="5" t="str">
        <f t="shared" si="404"/>
        <v>нет</v>
      </c>
      <c r="BD250" s="5" t="str">
        <f t="shared" si="413"/>
        <v>х</v>
      </c>
      <c r="BE250" s="5" t="str">
        <f t="shared" si="413"/>
        <v>х</v>
      </c>
      <c r="BF250" s="5" t="str">
        <f t="shared" si="413"/>
        <v>х</v>
      </c>
      <c r="BG250" s="5" t="str">
        <f>"1987"</f>
        <v>1987</v>
      </c>
      <c r="BH250" s="5" t="str">
        <f>"19,00"</f>
        <v>19,00</v>
      </c>
      <c r="BI250" s="5" t="str">
        <f>"2025"</f>
        <v>2025</v>
      </c>
      <c r="BJ250" s="5" t="str">
        <f t="shared" si="408"/>
        <v>нет</v>
      </c>
      <c r="BK250" s="5" t="str">
        <f t="shared" si="414"/>
        <v>х</v>
      </c>
      <c r="BL250" s="5" t="str">
        <f t="shared" si="414"/>
        <v>х</v>
      </c>
      <c r="BM250" s="5" t="str">
        <f t="shared" si="414"/>
        <v>х</v>
      </c>
      <c r="BN250" s="5" t="str">
        <f t="shared" si="405"/>
        <v>нет</v>
      </c>
      <c r="BO250" s="5" t="str">
        <f t="shared" si="415"/>
        <v>х</v>
      </c>
      <c r="BP250" s="5" t="str">
        <f t="shared" si="415"/>
        <v>х</v>
      </c>
      <c r="BQ250" s="5" t="str">
        <f t="shared" si="415"/>
        <v>х</v>
      </c>
      <c r="BR250" s="5" t="str">
        <f>"1987"</f>
        <v>1987</v>
      </c>
      <c r="BS250" s="5" t="str">
        <f>"21,00"</f>
        <v>21,00</v>
      </c>
      <c r="BT250" s="5" t="str">
        <f>"2026"</f>
        <v>2026</v>
      </c>
      <c r="BU250" s="5" t="str">
        <f t="shared" si="339"/>
        <v>нет</v>
      </c>
      <c r="BV250" s="5" t="str">
        <f t="shared" si="394"/>
        <v>x</v>
      </c>
      <c r="BW250" s="5" t="str">
        <f t="shared" si="394"/>
        <v>x</v>
      </c>
      <c r="BX250" s="5" t="str">
        <f t="shared" si="394"/>
        <v>x</v>
      </c>
      <c r="BY250" s="5" t="str">
        <f t="shared" si="395"/>
        <v>нет</v>
      </c>
      <c r="BZ250" s="5" t="str">
        <f>"1987"</f>
        <v>1987</v>
      </c>
      <c r="CA250" s="5" t="str">
        <f>"22,00"</f>
        <v>22,00</v>
      </c>
      <c r="CB250" s="5" t="str">
        <f>"2026"</f>
        <v>2026</v>
      </c>
      <c r="CC250" s="5" t="str">
        <f>"1987"</f>
        <v>1987</v>
      </c>
      <c r="CD250" s="5" t="str">
        <f>"50,00"</f>
        <v>50,00</v>
      </c>
      <c r="CE250" s="5" t="str">
        <f>"2018"</f>
        <v>2018</v>
      </c>
      <c r="CF250" s="5" t="str">
        <f>"1987"</f>
        <v>1987</v>
      </c>
      <c r="CG250" s="5" t="str">
        <f>"20,00"</f>
        <v>20,00</v>
      </c>
      <c r="CH250" s="5" t="str">
        <f>"2026"</f>
        <v>2026</v>
      </c>
      <c r="CI250" s="5" t="str">
        <f>"21,00"</f>
        <v>21,00</v>
      </c>
      <c r="CJ250" s="5" t="str">
        <f>"2035"</f>
        <v>2035</v>
      </c>
    </row>
    <row r="251" spans="1:88" ht="11.25" customHeight="1">
      <c r="A251" s="3" t="str">
        <f>"1.238"</f>
        <v>1.238</v>
      </c>
      <c r="B251" s="4" t="str">
        <f>"г. Грязовец, ул. Пылаевых, д.52"</f>
        <v>г. Грязовец, ул. Пылаевых, д.52</v>
      </c>
      <c r="C251" s="7" t="str">
        <f>"1993"</f>
        <v>1993</v>
      </c>
      <c r="D251" s="5" t="str">
        <f>"1993"</f>
        <v>1993</v>
      </c>
      <c r="E251" s="5" t="str">
        <f>"4,00"</f>
        <v>4,00</v>
      </c>
      <c r="F251" s="5" t="str">
        <f>"2040"</f>
        <v>2040</v>
      </c>
      <c r="G251" s="5" t="str">
        <f t="shared" si="369"/>
        <v>нет</v>
      </c>
      <c r="H251" s="5" t="str">
        <f>""</f>
        <v/>
      </c>
      <c r="I251" s="5" t="str">
        <f>""</f>
        <v/>
      </c>
      <c r="J251" s="5" t="str">
        <f>""</f>
        <v/>
      </c>
      <c r="K251" s="5" t="str">
        <f t="shared" si="370"/>
        <v>нет</v>
      </c>
      <c r="L251" s="5" t="str">
        <f>""</f>
        <v/>
      </c>
      <c r="M251" s="5" t="str">
        <f>""</f>
        <v/>
      </c>
      <c r="N251" s="5" t="str">
        <f>""</f>
        <v/>
      </c>
      <c r="O251" s="8" t="str">
        <f>"1993"</f>
        <v>1993</v>
      </c>
      <c r="P251" s="5" t="str">
        <f>"5,50"</f>
        <v>5,50</v>
      </c>
      <c r="Q251" s="5" t="str">
        <f>"2040"</f>
        <v>2040</v>
      </c>
      <c r="R251" s="5" t="str">
        <f t="shared" si="386"/>
        <v>нет</v>
      </c>
      <c r="S251" s="5" t="str">
        <f t="shared" si="409"/>
        <v>х</v>
      </c>
      <c r="T251" s="5" t="str">
        <f t="shared" si="409"/>
        <v>х</v>
      </c>
      <c r="U251" s="5" t="str">
        <f t="shared" si="409"/>
        <v>х</v>
      </c>
      <c r="V251" s="5" t="str">
        <f t="shared" si="387"/>
        <v>нет</v>
      </c>
      <c r="W251" s="5" t="str">
        <f t="shared" si="410"/>
        <v>х</v>
      </c>
      <c r="X251" s="5" t="str">
        <f t="shared" si="410"/>
        <v>х</v>
      </c>
      <c r="Y251" s="9" t="str">
        <f t="shared" si="410"/>
        <v>х</v>
      </c>
      <c r="Z251" s="5" t="str">
        <f>"1993"</f>
        <v>1993</v>
      </c>
      <c r="AA251" s="5" t="str">
        <f>"4,40"</f>
        <v>4,40</v>
      </c>
      <c r="AB251" s="5" t="str">
        <f>"2040"</f>
        <v>2040</v>
      </c>
      <c r="AC251" s="5" t="str">
        <f t="shared" si="402"/>
        <v>нет</v>
      </c>
      <c r="AD251" s="5" t="str">
        <f>""</f>
        <v/>
      </c>
      <c r="AE251" s="5" t="str">
        <f>""</f>
        <v/>
      </c>
      <c r="AF251" s="5" t="str">
        <f>""</f>
        <v/>
      </c>
      <c r="AG251" s="5" t="str">
        <f t="shared" si="403"/>
        <v>нет</v>
      </c>
      <c r="AH251" s="5" t="str">
        <f>""</f>
        <v/>
      </c>
      <c r="AI251" s="5" t="str">
        <f>""</f>
        <v/>
      </c>
      <c r="AJ251" s="5" t="str">
        <f>""</f>
        <v/>
      </c>
      <c r="AK251" s="8" t="str">
        <f>"1993"</f>
        <v>1993</v>
      </c>
      <c r="AL251" s="5" t="str">
        <f>"6,00"</f>
        <v>6,00</v>
      </c>
      <c r="AM251" s="5" t="str">
        <f>"2035"</f>
        <v>2035</v>
      </c>
      <c r="AN251" s="5" t="str">
        <f t="shared" si="406"/>
        <v>нет</v>
      </c>
      <c r="AO251" s="5" t="str">
        <f t="shared" si="416"/>
        <v>х</v>
      </c>
      <c r="AP251" s="5" t="str">
        <f t="shared" si="416"/>
        <v>х</v>
      </c>
      <c r="AQ251" s="5" t="str">
        <f t="shared" si="416"/>
        <v>х</v>
      </c>
      <c r="AR251" s="5" t="str">
        <f t="shared" si="417"/>
        <v>нет</v>
      </c>
      <c r="AS251" s="5" t="str">
        <f t="shared" si="418"/>
        <v>х</v>
      </c>
      <c r="AT251" s="5" t="str">
        <f t="shared" si="418"/>
        <v>х</v>
      </c>
      <c r="AU251" s="5" t="str">
        <f t="shared" si="418"/>
        <v>х</v>
      </c>
      <c r="AV251" s="5" t="str">
        <f>"1993"</f>
        <v>1993</v>
      </c>
      <c r="AW251" s="5" t="str">
        <f>"5,00"</f>
        <v>5,00</v>
      </c>
      <c r="AX251" s="5" t="str">
        <f>"2035"</f>
        <v>2035</v>
      </c>
      <c r="AY251" s="5" t="str">
        <f t="shared" si="407"/>
        <v>нет</v>
      </c>
      <c r="AZ251" s="5" t="str">
        <f t="shared" si="412"/>
        <v>х</v>
      </c>
      <c r="BA251" s="5" t="str">
        <f t="shared" si="412"/>
        <v>х</v>
      </c>
      <c r="BB251" s="5" t="str">
        <f t="shared" si="412"/>
        <v>х</v>
      </c>
      <c r="BC251" s="5" t="str">
        <f t="shared" si="404"/>
        <v>нет</v>
      </c>
      <c r="BD251" s="5" t="str">
        <f t="shared" si="413"/>
        <v>х</v>
      </c>
      <c r="BE251" s="5" t="str">
        <f t="shared" si="413"/>
        <v>х</v>
      </c>
      <c r="BF251" s="5" t="str">
        <f t="shared" si="413"/>
        <v>х</v>
      </c>
      <c r="BG251" s="5" t="str">
        <f>"1993"</f>
        <v>1993</v>
      </c>
      <c r="BH251" s="5" t="str">
        <f>"7,00"</f>
        <v>7,00</v>
      </c>
      <c r="BI251" s="5" t="str">
        <f>"2035"</f>
        <v>2035</v>
      </c>
      <c r="BJ251" s="5" t="str">
        <f t="shared" si="408"/>
        <v>нет</v>
      </c>
      <c r="BK251" s="5" t="str">
        <f t="shared" si="414"/>
        <v>х</v>
      </c>
      <c r="BL251" s="5" t="str">
        <f t="shared" si="414"/>
        <v>х</v>
      </c>
      <c r="BM251" s="5" t="str">
        <f t="shared" si="414"/>
        <v>х</v>
      </c>
      <c r="BN251" s="5" t="str">
        <f t="shared" si="405"/>
        <v>нет</v>
      </c>
      <c r="BO251" s="5" t="str">
        <f t="shared" si="415"/>
        <v>х</v>
      </c>
      <c r="BP251" s="5" t="str">
        <f t="shared" si="415"/>
        <v>х</v>
      </c>
      <c r="BQ251" s="5" t="str">
        <f t="shared" si="415"/>
        <v>х</v>
      </c>
      <c r="BR251" s="5" t="str">
        <f>"1993"</f>
        <v>1993</v>
      </c>
      <c r="BS251" s="5" t="str">
        <f>"11,00"</f>
        <v>11,00</v>
      </c>
      <c r="BT251" s="5" t="str">
        <f>"2033"</f>
        <v>2033</v>
      </c>
      <c r="BU251" s="5" t="str">
        <f t="shared" si="339"/>
        <v>нет</v>
      </c>
      <c r="BV251" s="5" t="str">
        <f t="shared" si="394"/>
        <v>x</v>
      </c>
      <c r="BW251" s="5" t="str">
        <f t="shared" si="394"/>
        <v>x</v>
      </c>
      <c r="BX251" s="5" t="str">
        <f t="shared" si="394"/>
        <v>x</v>
      </c>
      <c r="BY251" s="5" t="str">
        <f t="shared" si="395"/>
        <v>нет</v>
      </c>
      <c r="BZ251" s="5" t="str">
        <f>"1993"</f>
        <v>1993</v>
      </c>
      <c r="CA251" s="5" t="str">
        <f>"10,00"</f>
        <v>10,00</v>
      </c>
      <c r="CB251" s="5" t="str">
        <f>"2038"</f>
        <v>2038</v>
      </c>
      <c r="CC251" s="5" t="str">
        <f>"1993"</f>
        <v>1993</v>
      </c>
      <c r="CD251" s="5" t="str">
        <f>"10,50"</f>
        <v>10,50</v>
      </c>
      <c r="CE251" s="5" t="str">
        <f>"2034"</f>
        <v>2034</v>
      </c>
      <c r="CF251" s="5" t="str">
        <f>"1993"</f>
        <v>1993</v>
      </c>
      <c r="CG251" s="5" t="str">
        <f>"10,00"</f>
        <v>10,00</v>
      </c>
      <c r="CH251" s="5" t="str">
        <f>"2036"</f>
        <v>2036</v>
      </c>
      <c r="CI251" s="5" t="str">
        <f>"10,00"</f>
        <v>10,00</v>
      </c>
      <c r="CJ251" s="5" t="str">
        <f>"2044"</f>
        <v>2044</v>
      </c>
    </row>
    <row r="252" spans="1:88" ht="11.25" customHeight="1">
      <c r="A252" s="3" t="str">
        <f>"1.239"</f>
        <v>1.239</v>
      </c>
      <c r="B252" s="4" t="str">
        <f>"г. Грязовец, ул. Рабочая, д.11"</f>
        <v>г. Грязовец, ул. Рабочая, д.11</v>
      </c>
      <c r="C252" s="7" t="str">
        <f>"1991"</f>
        <v>1991</v>
      </c>
      <c r="D252" s="5" t="str">
        <f>""</f>
        <v/>
      </c>
      <c r="E252" s="5" t="str">
        <f>"20,00"</f>
        <v>20,00</v>
      </c>
      <c r="F252" s="5" t="str">
        <f>"2030"</f>
        <v>2030</v>
      </c>
      <c r="G252" s="5" t="str">
        <f t="shared" si="369"/>
        <v>нет</v>
      </c>
      <c r="H252" s="5" t="str">
        <f>""</f>
        <v/>
      </c>
      <c r="I252" s="5" t="str">
        <f>""</f>
        <v/>
      </c>
      <c r="J252" s="5" t="str">
        <f>""</f>
        <v/>
      </c>
      <c r="K252" s="5" t="str">
        <f t="shared" si="370"/>
        <v>нет</v>
      </c>
      <c r="L252" s="5" t="str">
        <f>""</f>
        <v/>
      </c>
      <c r="M252" s="5" t="str">
        <f>""</f>
        <v/>
      </c>
      <c r="N252" s="5" t="str">
        <f>""</f>
        <v/>
      </c>
      <c r="O252" s="8" t="str">
        <f>""</f>
        <v/>
      </c>
      <c r="P252" s="5" t="str">
        <f>"20,00"</f>
        <v>20,00</v>
      </c>
      <c r="Q252" s="5" t="str">
        <f>"2031"</f>
        <v>2031</v>
      </c>
      <c r="R252" s="5" t="str">
        <f t="shared" si="386"/>
        <v>нет</v>
      </c>
      <c r="S252" s="5" t="str">
        <f>""</f>
        <v/>
      </c>
      <c r="T252" s="5" t="str">
        <f>""</f>
        <v/>
      </c>
      <c r="U252" s="5" t="str">
        <f>""</f>
        <v/>
      </c>
      <c r="V252" s="5" t="str">
        <f t="shared" si="387"/>
        <v>нет</v>
      </c>
      <c r="W252" s="5" t="str">
        <f>""</f>
        <v/>
      </c>
      <c r="X252" s="5" t="str">
        <f>""</f>
        <v/>
      </c>
      <c r="Y252" s="9" t="str">
        <f>""</f>
        <v/>
      </c>
      <c r="Z252" s="5" t="str">
        <f>"1991"</f>
        <v>1991</v>
      </c>
      <c r="AA252" s="5" t="str">
        <f>"20,00"</f>
        <v>20,00</v>
      </c>
      <c r="AB252" s="5" t="str">
        <f>"2032"</f>
        <v>2032</v>
      </c>
      <c r="AC252" s="5" t="str">
        <f t="shared" si="402"/>
        <v>нет</v>
      </c>
      <c r="AD252" s="5" t="str">
        <f>""</f>
        <v/>
      </c>
      <c r="AE252" s="5" t="str">
        <f>""</f>
        <v/>
      </c>
      <c r="AF252" s="5" t="str">
        <f>""</f>
        <v/>
      </c>
      <c r="AG252" s="5" t="str">
        <f t="shared" si="403"/>
        <v>нет</v>
      </c>
      <c r="AH252" s="5" t="str">
        <f>""</f>
        <v/>
      </c>
      <c r="AI252" s="5" t="str">
        <f>""</f>
        <v/>
      </c>
      <c r="AJ252" s="5" t="str">
        <f>""</f>
        <v/>
      </c>
      <c r="AK252" s="8" t="str">
        <f>"1991"</f>
        <v>1991</v>
      </c>
      <c r="AL252" s="5" t="str">
        <f>"20,00"</f>
        <v>20,00</v>
      </c>
      <c r="AM252" s="5" t="str">
        <f>"2033"</f>
        <v>2033</v>
      </c>
      <c r="AN252" s="5" t="str">
        <f t="shared" si="406"/>
        <v>нет</v>
      </c>
      <c r="AO252" s="5" t="str">
        <f>""</f>
        <v/>
      </c>
      <c r="AP252" s="5" t="str">
        <f>""</f>
        <v/>
      </c>
      <c r="AQ252" s="5" t="str">
        <f>""</f>
        <v/>
      </c>
      <c r="AR252" s="5" t="str">
        <f t="shared" si="417"/>
        <v>нет</v>
      </c>
      <c r="AS252" s="5" t="str">
        <f>""</f>
        <v/>
      </c>
      <c r="AT252" s="5" t="str">
        <f>""</f>
        <v/>
      </c>
      <c r="AU252" s="5" t="str">
        <f>""</f>
        <v/>
      </c>
      <c r="AV252" s="5" t="str">
        <f>""</f>
        <v/>
      </c>
      <c r="AW252" s="5" t="str">
        <f>"20,00"</f>
        <v>20,00</v>
      </c>
      <c r="AX252" s="5" t="str">
        <f>"2033"</f>
        <v>2033</v>
      </c>
      <c r="AY252" s="5" t="str">
        <f t="shared" si="407"/>
        <v>нет</v>
      </c>
      <c r="AZ252" s="5" t="str">
        <f>""</f>
        <v/>
      </c>
      <c r="BA252" s="5" t="str">
        <f>""</f>
        <v/>
      </c>
      <c r="BB252" s="5" t="str">
        <f>""</f>
        <v/>
      </c>
      <c r="BC252" s="5" t="str">
        <f t="shared" si="404"/>
        <v>нет</v>
      </c>
      <c r="BD252" s="5" t="str">
        <f>""</f>
        <v/>
      </c>
      <c r="BE252" s="5" t="str">
        <f>""</f>
        <v/>
      </c>
      <c r="BF252" s="5" t="str">
        <f>""</f>
        <v/>
      </c>
      <c r="BG252" s="5" t="str">
        <f>""</f>
        <v/>
      </c>
      <c r="BH252" s="5" t="str">
        <f>"20,00"</f>
        <v>20,00</v>
      </c>
      <c r="BI252" s="5" t="str">
        <f>"2033"</f>
        <v>2033</v>
      </c>
      <c r="BJ252" s="5" t="str">
        <f t="shared" si="408"/>
        <v>нет</v>
      </c>
      <c r="BK252" s="5" t="str">
        <f>""</f>
        <v/>
      </c>
      <c r="BL252" s="5" t="str">
        <f>""</f>
        <v/>
      </c>
      <c r="BM252" s="5" t="str">
        <f>""</f>
        <v/>
      </c>
      <c r="BN252" s="5" t="str">
        <f t="shared" si="405"/>
        <v>нет</v>
      </c>
      <c r="BO252" s="5" t="str">
        <f>""</f>
        <v/>
      </c>
      <c r="BP252" s="5" t="str">
        <f>""</f>
        <v/>
      </c>
      <c r="BQ252" s="5" t="str">
        <f>""</f>
        <v/>
      </c>
      <c r="BR252" s="5" t="str">
        <f>"1991"</f>
        <v>1991</v>
      </c>
      <c r="BS252" s="5" t="str">
        <f>"20,00"</f>
        <v>20,00</v>
      </c>
      <c r="BT252" s="5" t="str">
        <f>"2030"</f>
        <v>2030</v>
      </c>
      <c r="BU252" s="5" t="str">
        <f t="shared" si="339"/>
        <v>нет</v>
      </c>
      <c r="BV252" s="5" t="str">
        <f t="shared" si="394"/>
        <v>x</v>
      </c>
      <c r="BW252" s="5" t="str">
        <f t="shared" si="394"/>
        <v>x</v>
      </c>
      <c r="BX252" s="5" t="str">
        <f t="shared" si="394"/>
        <v>x</v>
      </c>
      <c r="BY252" s="5" t="str">
        <f t="shared" si="395"/>
        <v>нет</v>
      </c>
      <c r="BZ252" s="5" t="str">
        <f>"1991"</f>
        <v>1991</v>
      </c>
      <c r="CA252" s="5" t="str">
        <f>"x"</f>
        <v>x</v>
      </c>
      <c r="CB252" s="5" t="str">
        <f>"x"</f>
        <v>x</v>
      </c>
      <c r="CC252" s="5" t="str">
        <f>"1991"</f>
        <v>1991</v>
      </c>
      <c r="CD252" s="5" t="str">
        <f>"20,00"</f>
        <v>20,00</v>
      </c>
      <c r="CE252" s="5" t="str">
        <f>"2030"</f>
        <v>2030</v>
      </c>
      <c r="CF252" s="5" t="str">
        <f>"1991"</f>
        <v>1991</v>
      </c>
      <c r="CG252" s="5" t="str">
        <f>"20,00"</f>
        <v>20,00</v>
      </c>
      <c r="CH252" s="5" t="str">
        <f>"2031"</f>
        <v>2031</v>
      </c>
      <c r="CI252" s="5" t="str">
        <f>"20,00"</f>
        <v>20,00</v>
      </c>
      <c r="CJ252" s="5" t="str">
        <f>"2040"</f>
        <v>2040</v>
      </c>
    </row>
    <row r="253" spans="1:88" ht="11.25" customHeight="1">
      <c r="A253" s="3" t="str">
        <f>"1.240"</f>
        <v>1.240</v>
      </c>
      <c r="B253" s="4" t="str">
        <f>"г. Грязовец, ул. Рабочая, д.12"</f>
        <v>г. Грязовец, ул. Рабочая, д.12</v>
      </c>
      <c r="C253" s="7" t="str">
        <f>"1981"</f>
        <v>1981</v>
      </c>
      <c r="D253" s="5" t="str">
        <f>"1981"</f>
        <v>1981</v>
      </c>
      <c r="E253" s="5" t="str">
        <f>"17,00"</f>
        <v>17,00</v>
      </c>
      <c r="F253" s="5" t="str">
        <f>"2035"</f>
        <v>2035</v>
      </c>
      <c r="G253" s="5" t="str">
        <f t="shared" si="369"/>
        <v>нет</v>
      </c>
      <c r="H253" s="5" t="str">
        <f>""</f>
        <v/>
      </c>
      <c r="I253" s="5" t="str">
        <f>""</f>
        <v/>
      </c>
      <c r="J253" s="5" t="str">
        <f>""</f>
        <v/>
      </c>
      <c r="K253" s="5" t="str">
        <f t="shared" si="370"/>
        <v>нет</v>
      </c>
      <c r="L253" s="5" t="str">
        <f>""</f>
        <v/>
      </c>
      <c r="M253" s="5" t="str">
        <f>""</f>
        <v/>
      </c>
      <c r="N253" s="5" t="str">
        <f>""</f>
        <v/>
      </c>
      <c r="O253" s="8" t="str">
        <f>"1981"</f>
        <v>1981</v>
      </c>
      <c r="P253" s="5" t="str">
        <f>"18,00"</f>
        <v>18,00</v>
      </c>
      <c r="Q253" s="5" t="str">
        <f>"2035"</f>
        <v>2035</v>
      </c>
      <c r="R253" s="5" t="str">
        <f t="shared" si="386"/>
        <v>нет</v>
      </c>
      <c r="S253" s="5" t="str">
        <f t="shared" ref="S253:U254" si="419">"х"</f>
        <v>х</v>
      </c>
      <c r="T253" s="5" t="str">
        <f t="shared" si="419"/>
        <v>х</v>
      </c>
      <c r="U253" s="5" t="str">
        <f t="shared" si="419"/>
        <v>х</v>
      </c>
      <c r="V253" s="5" t="str">
        <f t="shared" si="387"/>
        <v>нет</v>
      </c>
      <c r="W253" s="5" t="str">
        <f t="shared" ref="W253:Y254" si="420">"х"</f>
        <v>х</v>
      </c>
      <c r="X253" s="5" t="str">
        <f t="shared" si="420"/>
        <v>х</v>
      </c>
      <c r="Y253" s="9" t="str">
        <f t="shared" si="420"/>
        <v>х</v>
      </c>
      <c r="Z253" s="5" t="str">
        <f>"1981"</f>
        <v>1981</v>
      </c>
      <c r="AA253" s="5" t="str">
        <f>"17,00"</f>
        <v>17,00</v>
      </c>
      <c r="AB253" s="5" t="str">
        <f>"2035"</f>
        <v>2035</v>
      </c>
      <c r="AC253" s="5" t="str">
        <f t="shared" si="402"/>
        <v>нет</v>
      </c>
      <c r="AD253" s="5" t="str">
        <f>""</f>
        <v/>
      </c>
      <c r="AE253" s="5" t="str">
        <f>""</f>
        <v/>
      </c>
      <c r="AF253" s="5" t="str">
        <f>""</f>
        <v/>
      </c>
      <c r="AG253" s="5" t="str">
        <f t="shared" si="403"/>
        <v>нет</v>
      </c>
      <c r="AH253" s="5" t="str">
        <f>""</f>
        <v/>
      </c>
      <c r="AI253" s="5" t="str">
        <f>""</f>
        <v/>
      </c>
      <c r="AJ253" s="5" t="str">
        <f>""</f>
        <v/>
      </c>
      <c r="AK253" s="8" t="str">
        <f>"1981"</f>
        <v>1981</v>
      </c>
      <c r="AL253" s="5" t="str">
        <f>"21,00"</f>
        <v>21,00</v>
      </c>
      <c r="AM253" s="5" t="str">
        <f>"2033"</f>
        <v>2033</v>
      </c>
      <c r="AN253" s="5" t="str">
        <f t="shared" si="406"/>
        <v>нет</v>
      </c>
      <c r="AO253" s="5" t="str">
        <f t="shared" ref="AO253:AQ254" si="421">"х"</f>
        <v>х</v>
      </c>
      <c r="AP253" s="5" t="str">
        <f t="shared" si="421"/>
        <v>х</v>
      </c>
      <c r="AQ253" s="5" t="str">
        <f t="shared" si="421"/>
        <v>х</v>
      </c>
      <c r="AR253" s="5" t="str">
        <f t="shared" si="417"/>
        <v>нет</v>
      </c>
      <c r="AS253" s="5" t="str">
        <f t="shared" ref="AS253:AU254" si="422">"х"</f>
        <v>х</v>
      </c>
      <c r="AT253" s="5" t="str">
        <f t="shared" si="422"/>
        <v>х</v>
      </c>
      <c r="AU253" s="5" t="str">
        <f t="shared" si="422"/>
        <v>х</v>
      </c>
      <c r="AV253" s="5" t="str">
        <f>"1981"</f>
        <v>1981</v>
      </c>
      <c r="AW253" s="5" t="str">
        <f>"20,00"</f>
        <v>20,00</v>
      </c>
      <c r="AX253" s="5" t="str">
        <f>"2033"</f>
        <v>2033</v>
      </c>
      <c r="AY253" s="5" t="str">
        <f t="shared" si="407"/>
        <v>нет</v>
      </c>
      <c r="AZ253" s="5" t="str">
        <f t="shared" ref="AZ253:BB254" si="423">"х"</f>
        <v>х</v>
      </c>
      <c r="BA253" s="5" t="str">
        <f t="shared" si="423"/>
        <v>х</v>
      </c>
      <c r="BB253" s="5" t="str">
        <f t="shared" si="423"/>
        <v>х</v>
      </c>
      <c r="BC253" s="5" t="str">
        <f t="shared" si="404"/>
        <v>нет</v>
      </c>
      <c r="BD253" s="5" t="str">
        <f t="shared" ref="BD253:BF254" si="424">"х"</f>
        <v>х</v>
      </c>
      <c r="BE253" s="5" t="str">
        <f t="shared" si="424"/>
        <v>х</v>
      </c>
      <c r="BF253" s="5" t="str">
        <f t="shared" si="424"/>
        <v>х</v>
      </c>
      <c r="BG253" s="5" t="str">
        <f>"1981"</f>
        <v>1981</v>
      </c>
      <c r="BH253" s="5" t="str">
        <f>"21,00"</f>
        <v>21,00</v>
      </c>
      <c r="BI253" s="5" t="str">
        <f>"х"</f>
        <v>х</v>
      </c>
      <c r="BJ253" s="5" t="str">
        <f t="shared" si="408"/>
        <v>нет</v>
      </c>
      <c r="BK253" s="5" t="str">
        <f t="shared" ref="BK253:BM254" si="425">"х"</f>
        <v>х</v>
      </c>
      <c r="BL253" s="5" t="str">
        <f t="shared" si="425"/>
        <v>х</v>
      </c>
      <c r="BM253" s="5" t="str">
        <f t="shared" si="425"/>
        <v>х</v>
      </c>
      <c r="BN253" s="5" t="str">
        <f t="shared" si="405"/>
        <v>нет</v>
      </c>
      <c r="BO253" s="5" t="str">
        <f t="shared" ref="BO253:BQ254" si="426">"х"</f>
        <v>х</v>
      </c>
      <c r="BP253" s="5" t="str">
        <f t="shared" si="426"/>
        <v>х</v>
      </c>
      <c r="BQ253" s="5" t="str">
        <f t="shared" si="426"/>
        <v>х</v>
      </c>
      <c r="BR253" s="5" t="str">
        <f>"1981"</f>
        <v>1981</v>
      </c>
      <c r="BS253" s="5" t="str">
        <f>"25,00"</f>
        <v>25,00</v>
      </c>
      <c r="BT253" s="5" t="str">
        <f>"2030"</f>
        <v>2030</v>
      </c>
      <c r="BU253" s="5" t="str">
        <f t="shared" si="339"/>
        <v>нет</v>
      </c>
      <c r="BV253" s="5" t="str">
        <f t="shared" si="394"/>
        <v>x</v>
      </c>
      <c r="BW253" s="5" t="str">
        <f t="shared" si="394"/>
        <v>x</v>
      </c>
      <c r="BX253" s="5" t="str">
        <f t="shared" si="394"/>
        <v>x</v>
      </c>
      <c r="BY253" s="5" t="str">
        <f t="shared" si="395"/>
        <v>нет</v>
      </c>
      <c r="BZ253" s="5" t="str">
        <f>"1981"</f>
        <v>1981</v>
      </c>
      <c r="CA253" s="5" t="str">
        <f>"24,00"</f>
        <v>24,00</v>
      </c>
      <c r="CB253" s="5" t="str">
        <f>"2030"</f>
        <v>2030</v>
      </c>
      <c r="CC253" s="5" t="str">
        <f>"1981"</f>
        <v>1981</v>
      </c>
      <c r="CD253" s="5" t="str">
        <f>"25,00"</f>
        <v>25,00</v>
      </c>
      <c r="CE253" s="5" t="str">
        <f>"2030"</f>
        <v>2030</v>
      </c>
      <c r="CF253" s="5" t="str">
        <f>"1981"</f>
        <v>1981</v>
      </c>
      <c r="CG253" s="5" t="str">
        <f>"26,00"</f>
        <v>26,00</v>
      </c>
      <c r="CH253" s="5" t="str">
        <f>"2030"</f>
        <v>2030</v>
      </c>
      <c r="CI253" s="5" t="str">
        <f>"24,00"</f>
        <v>24,00</v>
      </c>
      <c r="CJ253" s="5" t="str">
        <f>"2040"</f>
        <v>2040</v>
      </c>
    </row>
    <row r="254" spans="1:88" ht="11.25" customHeight="1">
      <c r="A254" s="3" t="str">
        <f>"1.241"</f>
        <v>1.241</v>
      </c>
      <c r="B254" s="4" t="str">
        <f>"г. Грязовец, ул. Рабочая, д.14"</f>
        <v>г. Грязовец, ул. Рабочая, д.14</v>
      </c>
      <c r="C254" s="7" t="str">
        <f>"1987"</f>
        <v>1987</v>
      </c>
      <c r="D254" s="5" t="str">
        <f>"1987"</f>
        <v>1987</v>
      </c>
      <c r="E254" s="5" t="str">
        <f>"10,00"</f>
        <v>10,00</v>
      </c>
      <c r="F254" s="5" t="str">
        <f>"2030"</f>
        <v>2030</v>
      </c>
      <c r="G254" s="5" t="str">
        <f t="shared" si="369"/>
        <v>нет</v>
      </c>
      <c r="H254" s="5" t="str">
        <f>""</f>
        <v/>
      </c>
      <c r="I254" s="5" t="str">
        <f>""</f>
        <v/>
      </c>
      <c r="J254" s="5" t="str">
        <f>""</f>
        <v/>
      </c>
      <c r="K254" s="5" t="str">
        <f t="shared" si="370"/>
        <v>нет</v>
      </c>
      <c r="L254" s="5" t="str">
        <f>""</f>
        <v/>
      </c>
      <c r="M254" s="5" t="str">
        <f>""</f>
        <v/>
      </c>
      <c r="N254" s="5" t="str">
        <f>""</f>
        <v/>
      </c>
      <c r="O254" s="8" t="str">
        <f>"1987"</f>
        <v>1987</v>
      </c>
      <c r="P254" s="5" t="str">
        <f>"11,00"</f>
        <v>11,00</v>
      </c>
      <c r="Q254" s="5" t="str">
        <f>"2028"</f>
        <v>2028</v>
      </c>
      <c r="R254" s="5" t="str">
        <f t="shared" si="386"/>
        <v>нет</v>
      </c>
      <c r="S254" s="5" t="str">
        <f t="shared" si="419"/>
        <v>х</v>
      </c>
      <c r="T254" s="5" t="str">
        <f t="shared" si="419"/>
        <v>х</v>
      </c>
      <c r="U254" s="5" t="str">
        <f t="shared" si="419"/>
        <v>х</v>
      </c>
      <c r="V254" s="5" t="str">
        <f t="shared" si="387"/>
        <v>нет</v>
      </c>
      <c r="W254" s="5" t="str">
        <f t="shared" si="420"/>
        <v>х</v>
      </c>
      <c r="X254" s="5" t="str">
        <f t="shared" si="420"/>
        <v>х</v>
      </c>
      <c r="Y254" s="9" t="str">
        <f t="shared" si="420"/>
        <v>х</v>
      </c>
      <c r="Z254" s="5" t="str">
        <f>"1987"</f>
        <v>1987</v>
      </c>
      <c r="AA254" s="5" t="str">
        <f>"12,00"</f>
        <v>12,00</v>
      </c>
      <c r="AB254" s="5" t="str">
        <f>"2028"</f>
        <v>2028</v>
      </c>
      <c r="AC254" s="5" t="str">
        <f t="shared" si="402"/>
        <v>нет</v>
      </c>
      <c r="AD254" s="5" t="str">
        <f>""</f>
        <v/>
      </c>
      <c r="AE254" s="5" t="str">
        <f>""</f>
        <v/>
      </c>
      <c r="AF254" s="5" t="str">
        <f>""</f>
        <v/>
      </c>
      <c r="AG254" s="5" t="str">
        <f t="shared" si="403"/>
        <v>нет</v>
      </c>
      <c r="AH254" s="5" t="str">
        <f>""</f>
        <v/>
      </c>
      <c r="AI254" s="5" t="str">
        <f>""</f>
        <v/>
      </c>
      <c r="AJ254" s="5" t="str">
        <f>""</f>
        <v/>
      </c>
      <c r="AK254" s="8" t="str">
        <f>"1987"</f>
        <v>1987</v>
      </c>
      <c r="AL254" s="5" t="str">
        <f>"12,00"</f>
        <v>12,00</v>
      </c>
      <c r="AM254" s="5" t="str">
        <f>"х"</f>
        <v>х</v>
      </c>
      <c r="AN254" s="5" t="str">
        <f t="shared" si="406"/>
        <v>нет</v>
      </c>
      <c r="AO254" s="5" t="str">
        <f t="shared" si="421"/>
        <v>х</v>
      </c>
      <c r="AP254" s="5" t="str">
        <f t="shared" si="421"/>
        <v>х</v>
      </c>
      <c r="AQ254" s="5" t="str">
        <f t="shared" si="421"/>
        <v>х</v>
      </c>
      <c r="AR254" s="5" t="str">
        <f t="shared" si="417"/>
        <v>нет</v>
      </c>
      <c r="AS254" s="5" t="str">
        <f t="shared" si="422"/>
        <v>х</v>
      </c>
      <c r="AT254" s="5" t="str">
        <f t="shared" si="422"/>
        <v>х</v>
      </c>
      <c r="AU254" s="5" t="str">
        <f t="shared" si="422"/>
        <v>х</v>
      </c>
      <c r="AV254" s="5" t="str">
        <f>"1987"</f>
        <v>1987</v>
      </c>
      <c r="AW254" s="5" t="str">
        <f>"11,50"</f>
        <v>11,50</v>
      </c>
      <c r="AX254" s="5" t="str">
        <f>"2028"</f>
        <v>2028</v>
      </c>
      <c r="AY254" s="5" t="str">
        <f t="shared" si="407"/>
        <v>нет</v>
      </c>
      <c r="AZ254" s="5" t="str">
        <f t="shared" si="423"/>
        <v>х</v>
      </c>
      <c r="BA254" s="5" t="str">
        <f t="shared" si="423"/>
        <v>х</v>
      </c>
      <c r="BB254" s="5" t="str">
        <f t="shared" si="423"/>
        <v>х</v>
      </c>
      <c r="BC254" s="5" t="str">
        <f t="shared" si="404"/>
        <v>нет</v>
      </c>
      <c r="BD254" s="5" t="str">
        <f t="shared" si="424"/>
        <v>х</v>
      </c>
      <c r="BE254" s="5" t="str">
        <f t="shared" si="424"/>
        <v>х</v>
      </c>
      <c r="BF254" s="5" t="str">
        <f t="shared" si="424"/>
        <v>х</v>
      </c>
      <c r="BG254" s="5" t="str">
        <f>"1987"</f>
        <v>1987</v>
      </c>
      <c r="BH254" s="5" t="str">
        <f>"12,00"</f>
        <v>12,00</v>
      </c>
      <c r="BI254" s="5" t="str">
        <f>"2027"</f>
        <v>2027</v>
      </c>
      <c r="BJ254" s="5" t="str">
        <f t="shared" si="408"/>
        <v>нет</v>
      </c>
      <c r="BK254" s="5" t="str">
        <f t="shared" si="425"/>
        <v>х</v>
      </c>
      <c r="BL254" s="5" t="str">
        <f t="shared" si="425"/>
        <v>х</v>
      </c>
      <c r="BM254" s="5" t="str">
        <f t="shared" si="425"/>
        <v>х</v>
      </c>
      <c r="BN254" s="5" t="str">
        <f t="shared" si="405"/>
        <v>нет</v>
      </c>
      <c r="BO254" s="5" t="str">
        <f t="shared" si="426"/>
        <v>х</v>
      </c>
      <c r="BP254" s="5" t="str">
        <f t="shared" si="426"/>
        <v>х</v>
      </c>
      <c r="BQ254" s="5" t="str">
        <f t="shared" si="426"/>
        <v>х</v>
      </c>
      <c r="BR254" s="5" t="str">
        <f>"1987"</f>
        <v>1987</v>
      </c>
      <c r="BS254" s="5" t="str">
        <f>"16,00"</f>
        <v>16,00</v>
      </c>
      <c r="BT254" s="5" t="str">
        <f>"2025"</f>
        <v>2025</v>
      </c>
      <c r="BU254" s="5" t="str">
        <f t="shared" si="339"/>
        <v>нет</v>
      </c>
      <c r="BV254" s="5" t="str">
        <f t="shared" ref="BV254:BX273" si="427">"x"</f>
        <v>x</v>
      </c>
      <c r="BW254" s="5" t="str">
        <f t="shared" si="427"/>
        <v>x</v>
      </c>
      <c r="BX254" s="5" t="str">
        <f t="shared" si="427"/>
        <v>x</v>
      </c>
      <c r="BY254" s="5" t="str">
        <f t="shared" si="395"/>
        <v>нет</v>
      </c>
      <c r="BZ254" s="5" t="str">
        <f>"1987"</f>
        <v>1987</v>
      </c>
      <c r="CA254" s="5" t="str">
        <f>"15,00"</f>
        <v>15,00</v>
      </c>
      <c r="CB254" s="5" t="str">
        <f>"2027"</f>
        <v>2027</v>
      </c>
      <c r="CC254" s="5" t="str">
        <f>"1987"</f>
        <v>1987</v>
      </c>
      <c r="CD254" s="5" t="str">
        <f>"16,00"</f>
        <v>16,00</v>
      </c>
      <c r="CE254" s="5" t="str">
        <f>"2026"</f>
        <v>2026</v>
      </c>
      <c r="CF254" s="5" t="str">
        <f>"1987"</f>
        <v>1987</v>
      </c>
      <c r="CG254" s="5" t="str">
        <f>"14,50"</f>
        <v>14,50</v>
      </c>
      <c r="CH254" s="5" t="str">
        <f>"2028"</f>
        <v>2028</v>
      </c>
      <c r="CI254" s="5" t="str">
        <f>"15,00"</f>
        <v>15,00</v>
      </c>
      <c r="CJ254" s="5" t="str">
        <f>"2035"</f>
        <v>2035</v>
      </c>
    </row>
    <row r="255" spans="1:88" ht="11.25" customHeight="1">
      <c r="A255" s="3" t="str">
        <f>"1.242"</f>
        <v>1.242</v>
      </c>
      <c r="B255" s="4" t="str">
        <f>"г. Грязовец, ул. Рабочая, д.17"</f>
        <v>г. Грязовец, ул. Рабочая, д.17</v>
      </c>
      <c r="C255" s="7" t="str">
        <f>"1989"</f>
        <v>1989</v>
      </c>
      <c r="D255" s="5" t="str">
        <f>"1989"</f>
        <v>1989</v>
      </c>
      <c r="E255" s="5" t="str">
        <f>"51,00"</f>
        <v>51,00</v>
      </c>
      <c r="F255" s="5" t="str">
        <f>"2020"</f>
        <v>2020</v>
      </c>
      <c r="G255" s="5" t="str">
        <f t="shared" si="369"/>
        <v>нет</v>
      </c>
      <c r="H255" s="5" t="str">
        <f>""</f>
        <v/>
      </c>
      <c r="I255" s="5" t="str">
        <f>""</f>
        <v/>
      </c>
      <c r="J255" s="5" t="str">
        <f>""</f>
        <v/>
      </c>
      <c r="K255" s="5" t="str">
        <f t="shared" si="370"/>
        <v>нет</v>
      </c>
      <c r="L255" s="5" t="str">
        <f>""</f>
        <v/>
      </c>
      <c r="M255" s="5" t="str">
        <f>""</f>
        <v/>
      </c>
      <c r="N255" s="5" t="str">
        <f>""</f>
        <v/>
      </c>
      <c r="O255" s="8" t="str">
        <f>"1989"</f>
        <v>1989</v>
      </c>
      <c r="P255" s="5" t="str">
        <f>"51,00"</f>
        <v>51,00</v>
      </c>
      <c r="Q255" s="5" t="str">
        <f>"2020"</f>
        <v>2020</v>
      </c>
      <c r="R255" s="5" t="str">
        <f t="shared" si="386"/>
        <v>нет</v>
      </c>
      <c r="S255" s="5" t="str">
        <f>""</f>
        <v/>
      </c>
      <c r="T255" s="5" t="str">
        <f>""</f>
        <v/>
      </c>
      <c r="U255" s="5" t="str">
        <f>""</f>
        <v/>
      </c>
      <c r="V255" s="5" t="str">
        <f t="shared" si="387"/>
        <v>нет</v>
      </c>
      <c r="W255" s="5" t="str">
        <f>""</f>
        <v/>
      </c>
      <c r="X255" s="5" t="str">
        <f>""</f>
        <v/>
      </c>
      <c r="Y255" s="9" t="str">
        <f>""</f>
        <v/>
      </c>
      <c r="Z255" s="5" t="str">
        <f>"1989"</f>
        <v>1989</v>
      </c>
      <c r="AA255" s="5" t="str">
        <f>"3,50"</f>
        <v>3,50</v>
      </c>
      <c r="AB255" s="5" t="str">
        <f>"2030"</f>
        <v>2030</v>
      </c>
      <c r="AC255" s="5" t="str">
        <f t="shared" si="402"/>
        <v>нет</v>
      </c>
      <c r="AD255" s="5" t="str">
        <f>""</f>
        <v/>
      </c>
      <c r="AE255" s="5" t="str">
        <f>""</f>
        <v/>
      </c>
      <c r="AF255" s="5" t="str">
        <f>""</f>
        <v/>
      </c>
      <c r="AG255" s="5" t="str">
        <f t="shared" si="403"/>
        <v>нет</v>
      </c>
      <c r="AH255" s="5" t="str">
        <f>""</f>
        <v/>
      </c>
      <c r="AI255" s="5" t="str">
        <f>""</f>
        <v/>
      </c>
      <c r="AJ255" s="5" t="str">
        <f>""</f>
        <v/>
      </c>
      <c r="AK255" s="8" t="str">
        <f>"1989"</f>
        <v>1989</v>
      </c>
      <c r="AL255" s="5" t="str">
        <f>"50,00"</f>
        <v>50,00</v>
      </c>
      <c r="AM255" s="5" t="str">
        <f>"2020"</f>
        <v>2020</v>
      </c>
      <c r="AN255" s="5" t="str">
        <f t="shared" si="406"/>
        <v>нет</v>
      </c>
      <c r="AO255" s="5" t="str">
        <f>""</f>
        <v/>
      </c>
      <c r="AP255" s="5" t="str">
        <f>""</f>
        <v/>
      </c>
      <c r="AQ255" s="5" t="str">
        <f>""</f>
        <v/>
      </c>
      <c r="AR255" s="5" t="str">
        <f t="shared" si="417"/>
        <v>нет</v>
      </c>
      <c r="AS255" s="5" t="str">
        <f>""</f>
        <v/>
      </c>
      <c r="AT255" s="5" t="str">
        <f>""</f>
        <v/>
      </c>
      <c r="AU255" s="5" t="str">
        <f>""</f>
        <v/>
      </c>
      <c r="AV255" s="5" t="str">
        <f>"1989"</f>
        <v>1989</v>
      </c>
      <c r="AW255" s="5" t="str">
        <f>"50,00"</f>
        <v>50,00</v>
      </c>
      <c r="AX255" s="5" t="str">
        <f>"2020"</f>
        <v>2020</v>
      </c>
      <c r="AY255" s="5" t="str">
        <f t="shared" si="407"/>
        <v>нет</v>
      </c>
      <c r="AZ255" s="5" t="str">
        <f>""</f>
        <v/>
      </c>
      <c r="BA255" s="5" t="str">
        <f>""</f>
        <v/>
      </c>
      <c r="BB255" s="5" t="str">
        <f>""</f>
        <v/>
      </c>
      <c r="BC255" s="5" t="str">
        <f t="shared" si="404"/>
        <v>нет</v>
      </c>
      <c r="BD255" s="5" t="str">
        <f>""</f>
        <v/>
      </c>
      <c r="BE255" s="5" t="str">
        <f>""</f>
        <v/>
      </c>
      <c r="BF255" s="5" t="str">
        <f>""</f>
        <v/>
      </c>
      <c r="BG255" s="5" t="str">
        <f>"1989"</f>
        <v>1989</v>
      </c>
      <c r="BH255" s="5" t="str">
        <f>"4,00"</f>
        <v>4,00</v>
      </c>
      <c r="BI255" s="5" t="str">
        <f>"2035"</f>
        <v>2035</v>
      </c>
      <c r="BJ255" s="5" t="str">
        <f t="shared" si="408"/>
        <v>нет</v>
      </c>
      <c r="BK255" s="5" t="str">
        <f>""</f>
        <v/>
      </c>
      <c r="BL255" s="5" t="str">
        <f>""</f>
        <v/>
      </c>
      <c r="BM255" s="5" t="str">
        <f>""</f>
        <v/>
      </c>
      <c r="BN255" s="5" t="str">
        <f t="shared" si="405"/>
        <v>нет</v>
      </c>
      <c r="BO255" s="5" t="str">
        <f>""</f>
        <v/>
      </c>
      <c r="BP255" s="5" t="str">
        <f>""</f>
        <v/>
      </c>
      <c r="BQ255" s="5" t="str">
        <f>""</f>
        <v/>
      </c>
      <c r="BR255" s="5" t="str">
        <f>"1989"</f>
        <v>1989</v>
      </c>
      <c r="BS255" s="5" t="str">
        <f>"51,00"</f>
        <v>51,00</v>
      </c>
      <c r="BT255" s="5" t="str">
        <f>"2020"</f>
        <v>2020</v>
      </c>
      <c r="BU255" s="5" t="str">
        <f t="shared" si="339"/>
        <v>нет</v>
      </c>
      <c r="BV255" s="5" t="str">
        <f t="shared" si="427"/>
        <v>x</v>
      </c>
      <c r="BW255" s="5" t="str">
        <f t="shared" si="427"/>
        <v>x</v>
      </c>
      <c r="BX255" s="5" t="str">
        <f t="shared" si="427"/>
        <v>x</v>
      </c>
      <c r="BY255" s="5" t="str">
        <f t="shared" si="395"/>
        <v>нет</v>
      </c>
      <c r="BZ255" s="5" t="str">
        <f>"1989"</f>
        <v>1989</v>
      </c>
      <c r="CA255" s="5" t="str">
        <f>"51,00"</f>
        <v>51,00</v>
      </c>
      <c r="CB255" s="5" t="str">
        <f>"2020"</f>
        <v>2020</v>
      </c>
      <c r="CC255" s="5" t="str">
        <f>"1989"</f>
        <v>1989</v>
      </c>
      <c r="CD255" s="5" t="str">
        <f>"7,00"</f>
        <v>7,00</v>
      </c>
      <c r="CE255" s="5" t="str">
        <f>"2035"</f>
        <v>2035</v>
      </c>
      <c r="CF255" s="5" t="str">
        <f>"1989"</f>
        <v>1989</v>
      </c>
      <c r="CG255" s="5" t="str">
        <f>"6,00"</f>
        <v>6,00</v>
      </c>
      <c r="CH255" s="5" t="str">
        <f>"2036"</f>
        <v>2036</v>
      </c>
      <c r="CI255" s="5" t="str">
        <f>"6,00"</f>
        <v>6,00</v>
      </c>
      <c r="CJ255" s="5" t="str">
        <f>"2040"</f>
        <v>2040</v>
      </c>
    </row>
    <row r="256" spans="1:88" ht="11.25" customHeight="1">
      <c r="A256" s="3" t="str">
        <f>"1.243"</f>
        <v>1.243</v>
      </c>
      <c r="B256" s="4" t="str">
        <f>"г. Грязовец, ул. Рабочая, д.5"</f>
        <v>г. Грязовец, ул. Рабочая, д.5</v>
      </c>
      <c r="C256" s="7" t="str">
        <f>"1981"</f>
        <v>1981</v>
      </c>
      <c r="D256" s="5" t="str">
        <f>"1981"</f>
        <v>1981</v>
      </c>
      <c r="E256" s="5" t="str">
        <f>"9,00"</f>
        <v>9,00</v>
      </c>
      <c r="F256" s="5" t="str">
        <f>"2040"</f>
        <v>2040</v>
      </c>
      <c r="G256" s="5" t="str">
        <f t="shared" si="369"/>
        <v>нет</v>
      </c>
      <c r="H256" s="5" t="str">
        <f>""</f>
        <v/>
      </c>
      <c r="I256" s="5" t="str">
        <f>""</f>
        <v/>
      </c>
      <c r="J256" s="5" t="str">
        <f>""</f>
        <v/>
      </c>
      <c r="K256" s="5" t="str">
        <f t="shared" si="370"/>
        <v>нет</v>
      </c>
      <c r="L256" s="5" t="str">
        <f>""</f>
        <v/>
      </c>
      <c r="M256" s="5" t="str">
        <f>""</f>
        <v/>
      </c>
      <c r="N256" s="5" t="str">
        <f>""</f>
        <v/>
      </c>
      <c r="O256" s="8" t="str">
        <f>"1981"</f>
        <v>1981</v>
      </c>
      <c r="P256" s="5" t="str">
        <f>"11,00"</f>
        <v>11,00</v>
      </c>
      <c r="Q256" s="5" t="str">
        <f>"2031"</f>
        <v>2031</v>
      </c>
      <c r="R256" s="5" t="str">
        <f t="shared" si="386"/>
        <v>нет</v>
      </c>
      <c r="S256" s="5" t="str">
        <f>""</f>
        <v/>
      </c>
      <c r="T256" s="5" t="str">
        <f>""</f>
        <v/>
      </c>
      <c r="U256" s="5" t="str">
        <f>""</f>
        <v/>
      </c>
      <c r="V256" s="5" t="str">
        <f t="shared" si="387"/>
        <v>нет</v>
      </c>
      <c r="W256" s="5" t="str">
        <f>""</f>
        <v/>
      </c>
      <c r="X256" s="5" t="str">
        <f>""</f>
        <v/>
      </c>
      <c r="Y256" s="9" t="str">
        <f>""</f>
        <v/>
      </c>
      <c r="Z256" s="5" t="str">
        <f>"1981"</f>
        <v>1981</v>
      </c>
      <c r="AA256" s="5" t="str">
        <f>"11,00"</f>
        <v>11,00</v>
      </c>
      <c r="AB256" s="5" t="str">
        <f>"2031"</f>
        <v>2031</v>
      </c>
      <c r="AC256" s="5" t="str">
        <f t="shared" si="402"/>
        <v>нет</v>
      </c>
      <c r="AD256" s="5" t="str">
        <f>""</f>
        <v/>
      </c>
      <c r="AE256" s="5" t="str">
        <f>""</f>
        <v/>
      </c>
      <c r="AF256" s="5" t="str">
        <f>""</f>
        <v/>
      </c>
      <c r="AG256" s="5" t="str">
        <f t="shared" si="403"/>
        <v>нет</v>
      </c>
      <c r="AH256" s="5" t="str">
        <f>""</f>
        <v/>
      </c>
      <c r="AI256" s="5" t="str">
        <f>""</f>
        <v/>
      </c>
      <c r="AJ256" s="5" t="str">
        <f>""</f>
        <v/>
      </c>
      <c r="AK256" s="8" t="str">
        <f>"1981"</f>
        <v>1981</v>
      </c>
      <c r="AL256" s="5" t="str">
        <f>"12,00"</f>
        <v>12,00</v>
      </c>
      <c r="AM256" s="5" t="str">
        <f>"2030"</f>
        <v>2030</v>
      </c>
      <c r="AN256" s="5" t="str">
        <f t="shared" si="406"/>
        <v>нет</v>
      </c>
      <c r="AO256" s="5" t="str">
        <f>""</f>
        <v/>
      </c>
      <c r="AP256" s="5" t="str">
        <f>""</f>
        <v/>
      </c>
      <c r="AQ256" s="5" t="str">
        <f>""</f>
        <v/>
      </c>
      <c r="AR256" s="5" t="str">
        <f t="shared" si="417"/>
        <v>нет</v>
      </c>
      <c r="AS256" s="5" t="str">
        <f>""</f>
        <v/>
      </c>
      <c r="AT256" s="5" t="str">
        <f>""</f>
        <v/>
      </c>
      <c r="AU256" s="5" t="str">
        <f>""</f>
        <v/>
      </c>
      <c r="AV256" s="5" t="str">
        <f>"1981"</f>
        <v>1981</v>
      </c>
      <c r="AW256" s="5" t="str">
        <f>"11,50"</f>
        <v>11,50</v>
      </c>
      <c r="AX256" s="5" t="str">
        <f>"2030"</f>
        <v>2030</v>
      </c>
      <c r="AY256" s="5" t="str">
        <f t="shared" si="407"/>
        <v>нет</v>
      </c>
      <c r="AZ256" s="5" t="str">
        <f>"х"</f>
        <v>х</v>
      </c>
      <c r="BA256" s="5" t="str">
        <f>"х"</f>
        <v>х</v>
      </c>
      <c r="BB256" s="5" t="str">
        <f>"х"</f>
        <v>х</v>
      </c>
      <c r="BC256" s="5" t="str">
        <f t="shared" si="404"/>
        <v>нет</v>
      </c>
      <c r="BD256" s="5" t="str">
        <f>"х"</f>
        <v>х</v>
      </c>
      <c r="BE256" s="5" t="str">
        <f>"х"</f>
        <v>х</v>
      </c>
      <c r="BF256" s="5" t="str">
        <f>"х"</f>
        <v>х</v>
      </c>
      <c r="BG256" s="5" t="str">
        <f>"1981"</f>
        <v>1981</v>
      </c>
      <c r="BH256" s="5" t="str">
        <f>"13,50"</f>
        <v>13,50</v>
      </c>
      <c r="BI256" s="5" t="str">
        <f>"2027"</f>
        <v>2027</v>
      </c>
      <c r="BJ256" s="5" t="str">
        <f t="shared" si="408"/>
        <v>нет</v>
      </c>
      <c r="BK256" s="5" t="str">
        <f>""</f>
        <v/>
      </c>
      <c r="BL256" s="5" t="str">
        <f>""</f>
        <v/>
      </c>
      <c r="BM256" s="5" t="str">
        <f>""</f>
        <v/>
      </c>
      <c r="BN256" s="5" t="str">
        <f t="shared" si="405"/>
        <v>нет</v>
      </c>
      <c r="BO256" s="5" t="str">
        <f>""</f>
        <v/>
      </c>
      <c r="BP256" s="5" t="str">
        <f>""</f>
        <v/>
      </c>
      <c r="BQ256" s="5" t="str">
        <f>""</f>
        <v/>
      </c>
      <c r="BR256" s="5" t="str">
        <f>"1981"</f>
        <v>1981</v>
      </c>
      <c r="BS256" s="5" t="str">
        <f>"16,00"</f>
        <v>16,00</v>
      </c>
      <c r="BT256" s="5" t="str">
        <f>"2025"</f>
        <v>2025</v>
      </c>
      <c r="BU256" s="5" t="str">
        <f t="shared" si="339"/>
        <v>нет</v>
      </c>
      <c r="BV256" s="5" t="str">
        <f t="shared" si="427"/>
        <v>x</v>
      </c>
      <c r="BW256" s="5" t="str">
        <f t="shared" si="427"/>
        <v>x</v>
      </c>
      <c r="BX256" s="5" t="str">
        <f t="shared" si="427"/>
        <v>x</v>
      </c>
      <c r="BY256" s="5" t="str">
        <f t="shared" si="395"/>
        <v>нет</v>
      </c>
      <c r="BZ256" s="5" t="str">
        <f>"1981"</f>
        <v>1981</v>
      </c>
      <c r="CA256" s="5" t="str">
        <f>"15,00"</f>
        <v>15,00</v>
      </c>
      <c r="CB256" s="5" t="str">
        <f>"2027"</f>
        <v>2027</v>
      </c>
      <c r="CC256" s="5" t="str">
        <f>"1981"</f>
        <v>1981</v>
      </c>
      <c r="CD256" s="5" t="str">
        <f>"15,50"</f>
        <v>15,50</v>
      </c>
      <c r="CE256" s="5" t="str">
        <f>"2027"</f>
        <v>2027</v>
      </c>
      <c r="CF256" s="5" t="str">
        <f>"1981"</f>
        <v>1981</v>
      </c>
      <c r="CG256" s="5" t="str">
        <f>"15,00"</f>
        <v>15,00</v>
      </c>
      <c r="CH256" s="5" t="str">
        <f>"2027"</f>
        <v>2027</v>
      </c>
      <c r="CI256" s="5" t="str">
        <f>"15,00"</f>
        <v>15,00</v>
      </c>
      <c r="CJ256" s="5" t="str">
        <f>"2043"</f>
        <v>2043</v>
      </c>
    </row>
    <row r="257" spans="1:88" ht="11.25" customHeight="1">
      <c r="A257" s="3" t="str">
        <f>"1.244"</f>
        <v>1.244</v>
      </c>
      <c r="B257" s="4" t="str">
        <f>"г. Грязовец, ул. Рабочая, д.6"</f>
        <v>г. Грязовец, ул. Рабочая, д.6</v>
      </c>
      <c r="C257" s="7" t="str">
        <f>"1968"</f>
        <v>1968</v>
      </c>
      <c r="D257" s="5" t="str">
        <f>"1968"</f>
        <v>1968</v>
      </c>
      <c r="E257" s="5" t="str">
        <f>"24,50"</f>
        <v>24,50</v>
      </c>
      <c r="F257" s="5" t="str">
        <f>"2023"</f>
        <v>2023</v>
      </c>
      <c r="G257" s="5" t="str">
        <f t="shared" si="369"/>
        <v>нет</v>
      </c>
      <c r="H257" s="5" t="str">
        <f>""</f>
        <v/>
      </c>
      <c r="I257" s="5" t="str">
        <f>""</f>
        <v/>
      </c>
      <c r="J257" s="5" t="str">
        <f>""</f>
        <v/>
      </c>
      <c r="K257" s="5" t="str">
        <f t="shared" si="370"/>
        <v>нет</v>
      </c>
      <c r="L257" s="5" t="str">
        <f>""</f>
        <v/>
      </c>
      <c r="M257" s="5" t="str">
        <f>""</f>
        <v/>
      </c>
      <c r="N257" s="5" t="str">
        <f>""</f>
        <v/>
      </c>
      <c r="O257" s="8" t="str">
        <f>"1968"</f>
        <v>1968</v>
      </c>
      <c r="P257" s="5" t="str">
        <f>"27,00"</f>
        <v>27,00</v>
      </c>
      <c r="Q257" s="5" t="str">
        <f>"2031"</f>
        <v>2031</v>
      </c>
      <c r="R257" s="5" t="str">
        <f t="shared" si="386"/>
        <v>нет</v>
      </c>
      <c r="S257" s="5" t="str">
        <f>""</f>
        <v/>
      </c>
      <c r="T257" s="5" t="str">
        <f>""</f>
        <v/>
      </c>
      <c r="U257" s="5" t="str">
        <f>""</f>
        <v/>
      </c>
      <c r="V257" s="5" t="str">
        <f t="shared" si="387"/>
        <v>нет</v>
      </c>
      <c r="W257" s="5" t="str">
        <f>""</f>
        <v/>
      </c>
      <c r="X257" s="5" t="str">
        <f>""</f>
        <v/>
      </c>
      <c r="Y257" s="9" t="str">
        <f>""</f>
        <v/>
      </c>
      <c r="Z257" s="5" t="str">
        <f>"1968"</f>
        <v>1968</v>
      </c>
      <c r="AA257" s="5" t="str">
        <f>"23,00"</f>
        <v>23,00</v>
      </c>
      <c r="AB257" s="5" t="str">
        <f>"2031"</f>
        <v>2031</v>
      </c>
      <c r="AC257" s="5" t="str">
        <f t="shared" si="402"/>
        <v>нет</v>
      </c>
      <c r="AD257" s="5" t="str">
        <f>""</f>
        <v/>
      </c>
      <c r="AE257" s="5" t="str">
        <f>""</f>
        <v/>
      </c>
      <c r="AF257" s="5" t="str">
        <f>""</f>
        <v/>
      </c>
      <c r="AG257" s="5" t="str">
        <f t="shared" si="403"/>
        <v>нет</v>
      </c>
      <c r="AH257" s="5" t="str">
        <f>""</f>
        <v/>
      </c>
      <c r="AI257" s="5" t="str">
        <f>""</f>
        <v/>
      </c>
      <c r="AJ257" s="5" t="str">
        <f>""</f>
        <v/>
      </c>
      <c r="AK257" s="8" t="str">
        <f>"1968"</f>
        <v>1968</v>
      </c>
      <c r="AL257" s="5" t="str">
        <f>"26,00"</f>
        <v>26,00</v>
      </c>
      <c r="AM257" s="5" t="str">
        <f>"2030"</f>
        <v>2030</v>
      </c>
      <c r="AN257" s="5" t="str">
        <f t="shared" si="406"/>
        <v>нет</v>
      </c>
      <c r="AO257" s="5" t="str">
        <f>""</f>
        <v/>
      </c>
      <c r="AP257" s="5" t="str">
        <f>""</f>
        <v/>
      </c>
      <c r="AQ257" s="5" t="str">
        <f>""</f>
        <v/>
      </c>
      <c r="AR257" s="5" t="str">
        <f t="shared" si="417"/>
        <v>нет</v>
      </c>
      <c r="AS257" s="5" t="str">
        <f>""</f>
        <v/>
      </c>
      <c r="AT257" s="5" t="str">
        <f>""</f>
        <v/>
      </c>
      <c r="AU257" s="5" t="str">
        <f>""</f>
        <v/>
      </c>
      <c r="AV257" s="5" t="str">
        <f>"1968"</f>
        <v>1968</v>
      </c>
      <c r="AW257" s="5" t="str">
        <f>"28,50"</f>
        <v>28,50</v>
      </c>
      <c r="AX257" s="5" t="str">
        <f>"2025"</f>
        <v>2025</v>
      </c>
      <c r="AY257" s="5" t="str">
        <f t="shared" si="407"/>
        <v>нет</v>
      </c>
      <c r="AZ257" s="5" t="str">
        <f>""</f>
        <v/>
      </c>
      <c r="BA257" s="5" t="str">
        <f>""</f>
        <v/>
      </c>
      <c r="BB257" s="5" t="str">
        <f>""</f>
        <v/>
      </c>
      <c r="BC257" s="5" t="str">
        <f t="shared" si="404"/>
        <v>нет</v>
      </c>
      <c r="BD257" s="5" t="str">
        <f>""</f>
        <v/>
      </c>
      <c r="BE257" s="5" t="str">
        <f>""</f>
        <v/>
      </c>
      <c r="BF257" s="5" t="str">
        <f>""</f>
        <v/>
      </c>
      <c r="BG257" s="5" t="str">
        <f>"1968"</f>
        <v>1968</v>
      </c>
      <c r="BH257" s="5" t="str">
        <f>"31,00"</f>
        <v>31,00</v>
      </c>
      <c r="BI257" s="5" t="str">
        <f>"2022"</f>
        <v>2022</v>
      </c>
      <c r="BJ257" s="5" t="str">
        <f t="shared" si="408"/>
        <v>нет</v>
      </c>
      <c r="BK257" s="5" t="str">
        <f>""</f>
        <v/>
      </c>
      <c r="BL257" s="5" t="str">
        <f>""</f>
        <v/>
      </c>
      <c r="BM257" s="5" t="str">
        <f>""</f>
        <v/>
      </c>
      <c r="BN257" s="5" t="str">
        <f t="shared" si="405"/>
        <v>нет</v>
      </c>
      <c r="BO257" s="5" t="str">
        <f>""</f>
        <v/>
      </c>
      <c r="BP257" s="5" t="str">
        <f>""</f>
        <v/>
      </c>
      <c r="BQ257" s="5" t="str">
        <f>""</f>
        <v/>
      </c>
      <c r="BR257" s="5" t="str">
        <f>"1968"</f>
        <v>1968</v>
      </c>
      <c r="BS257" s="5" t="str">
        <f>"35,00"</f>
        <v>35,00</v>
      </c>
      <c r="BT257" s="5" t="str">
        <f>"2020"</f>
        <v>2020</v>
      </c>
      <c r="BU257" s="5" t="str">
        <f t="shared" si="339"/>
        <v>нет</v>
      </c>
      <c r="BV257" s="5" t="str">
        <f t="shared" si="427"/>
        <v>x</v>
      </c>
      <c r="BW257" s="5" t="str">
        <f t="shared" si="427"/>
        <v>x</v>
      </c>
      <c r="BX257" s="5" t="str">
        <f t="shared" si="427"/>
        <v>x</v>
      </c>
      <c r="BY257" s="5" t="str">
        <f t="shared" si="395"/>
        <v>нет</v>
      </c>
      <c r="BZ257" s="5" t="str">
        <f>"1968"</f>
        <v>1968</v>
      </c>
      <c r="CA257" s="5" t="str">
        <f>"34,00"</f>
        <v>34,00</v>
      </c>
      <c r="CB257" s="5" t="str">
        <f>"2023"</f>
        <v>2023</v>
      </c>
      <c r="CC257" s="5" t="str">
        <f>"1968"</f>
        <v>1968</v>
      </c>
      <c r="CD257" s="5" t="str">
        <f>"35,00"</f>
        <v>35,00</v>
      </c>
      <c r="CE257" s="5" t="str">
        <f>"2022"</f>
        <v>2022</v>
      </c>
      <c r="CF257" s="5" t="str">
        <f>"1968"</f>
        <v>1968</v>
      </c>
      <c r="CG257" s="5" t="str">
        <f>"33,00"</f>
        <v>33,00</v>
      </c>
      <c r="CH257" s="5" t="str">
        <f>"2023"</f>
        <v>2023</v>
      </c>
      <c r="CI257" s="5" t="str">
        <f>"34,00"</f>
        <v>34,00</v>
      </c>
      <c r="CJ257" s="5" t="str">
        <f>"2035"</f>
        <v>2035</v>
      </c>
    </row>
    <row r="258" spans="1:88" ht="11.25" customHeight="1">
      <c r="A258" s="3" t="str">
        <f>"1.245"</f>
        <v>1.245</v>
      </c>
      <c r="B258" s="4" t="str">
        <f>"г. Грязовец, ул. Рабочая, д.9"</f>
        <v>г. Грязовец, ул. Рабочая, д.9</v>
      </c>
      <c r="C258" s="7" t="str">
        <f>"1989"</f>
        <v>1989</v>
      </c>
      <c r="D258" s="5" t="str">
        <f>"1989"</f>
        <v>1989</v>
      </c>
      <c r="E258" s="5" t="str">
        <f>"36,00"</f>
        <v>36,00</v>
      </c>
      <c r="F258" s="5" t="str">
        <f>"2026"</f>
        <v>2026</v>
      </c>
      <c r="G258" s="5" t="str">
        <f>"да"</f>
        <v>да</v>
      </c>
      <c r="H258" s="5" t="str">
        <f>""</f>
        <v/>
      </c>
      <c r="I258" s="5" t="str">
        <f>"30,00"</f>
        <v>30,00</v>
      </c>
      <c r="J258" s="5" t="str">
        <f>"2030"</f>
        <v>2030</v>
      </c>
      <c r="K258" s="5" t="str">
        <f>"да"</f>
        <v>да</v>
      </c>
      <c r="L258" s="5" t="str">
        <f>""</f>
        <v/>
      </c>
      <c r="M258" s="5" t="str">
        <f>"30,00"</f>
        <v>30,00</v>
      </c>
      <c r="N258" s="5" t="str">
        <f>"2030"</f>
        <v>2030</v>
      </c>
      <c r="O258" s="8" t="str">
        <f>"1989"</f>
        <v>1989</v>
      </c>
      <c r="P258" s="5" t="str">
        <f>"36,00"</f>
        <v>36,00</v>
      </c>
      <c r="Q258" s="5" t="str">
        <f>"2026"</f>
        <v>2026</v>
      </c>
      <c r="R258" s="5" t="str">
        <f t="shared" si="386"/>
        <v>нет</v>
      </c>
      <c r="S258" s="5" t="str">
        <f t="shared" ref="S258:U274" si="428">"х"</f>
        <v>х</v>
      </c>
      <c r="T258" s="5" t="str">
        <f t="shared" si="428"/>
        <v>х</v>
      </c>
      <c r="U258" s="5" t="str">
        <f t="shared" si="428"/>
        <v>х</v>
      </c>
      <c r="V258" s="5" t="str">
        <f>"да"</f>
        <v>да</v>
      </c>
      <c r="W258" s="5" t="str">
        <f t="shared" ref="W258:Y274" si="429">"х"</f>
        <v>х</v>
      </c>
      <c r="X258" s="5" t="str">
        <f t="shared" si="429"/>
        <v>х</v>
      </c>
      <c r="Y258" s="9" t="str">
        <f t="shared" si="429"/>
        <v>х</v>
      </c>
      <c r="Z258" s="5" t="str">
        <f>"1989"</f>
        <v>1989</v>
      </c>
      <c r="AA258" s="5" t="str">
        <f>"18,00"</f>
        <v>18,00</v>
      </c>
      <c r="AB258" s="5" t="str">
        <f>"2032"</f>
        <v>2032</v>
      </c>
      <c r="AC258" s="5" t="str">
        <f t="shared" si="402"/>
        <v>нет</v>
      </c>
      <c r="AD258" s="5" t="str">
        <f>""</f>
        <v/>
      </c>
      <c r="AE258" s="5" t="str">
        <f>""</f>
        <v/>
      </c>
      <c r="AF258" s="5" t="str">
        <f>""</f>
        <v/>
      </c>
      <c r="AG258" s="5" t="str">
        <f t="shared" si="403"/>
        <v>нет</v>
      </c>
      <c r="AH258" s="5" t="str">
        <f>""</f>
        <v/>
      </c>
      <c r="AI258" s="5" t="str">
        <f>""</f>
        <v/>
      </c>
      <c r="AJ258" s="5" t="str">
        <f>""</f>
        <v/>
      </c>
      <c r="AK258" s="8" t="str">
        <f>"1989"</f>
        <v>1989</v>
      </c>
      <c r="AL258" s="5" t="str">
        <f>"36,00"</f>
        <v>36,00</v>
      </c>
      <c r="AM258" s="5" t="str">
        <f>"2024"</f>
        <v>2024</v>
      </c>
      <c r="AN258" s="5" t="str">
        <f>"да"</f>
        <v>да</v>
      </c>
      <c r="AO258" s="5" t="str">
        <f t="shared" ref="AO258:AQ275" si="430">"х"</f>
        <v>х</v>
      </c>
      <c r="AP258" s="5" t="str">
        <f t="shared" si="430"/>
        <v>х</v>
      </c>
      <c r="AQ258" s="5" t="str">
        <f t="shared" si="430"/>
        <v>х</v>
      </c>
      <c r="AR258" s="5" t="str">
        <f>"да"</f>
        <v>да</v>
      </c>
      <c r="AS258" s="5" t="str">
        <f t="shared" ref="AS258:BF258" si="431">"х"</f>
        <v>х</v>
      </c>
      <c r="AT258" s="5" t="str">
        <f t="shared" si="431"/>
        <v>х</v>
      </c>
      <c r="AU258" s="5" t="str">
        <f t="shared" si="431"/>
        <v>х</v>
      </c>
      <c r="AV258" s="5" t="str">
        <f t="shared" si="431"/>
        <v>х</v>
      </c>
      <c r="AW258" s="5" t="str">
        <f t="shared" si="431"/>
        <v>х</v>
      </c>
      <c r="AX258" s="5" t="str">
        <f t="shared" si="431"/>
        <v>х</v>
      </c>
      <c r="AY258" s="5" t="str">
        <f t="shared" si="431"/>
        <v>х</v>
      </c>
      <c r="AZ258" s="5" t="str">
        <f t="shared" si="431"/>
        <v>х</v>
      </c>
      <c r="BA258" s="5" t="str">
        <f t="shared" si="431"/>
        <v>х</v>
      </c>
      <c r="BB258" s="5" t="str">
        <f t="shared" si="431"/>
        <v>х</v>
      </c>
      <c r="BC258" s="5" t="str">
        <f t="shared" si="431"/>
        <v>х</v>
      </c>
      <c r="BD258" s="5" t="str">
        <f t="shared" si="431"/>
        <v>х</v>
      </c>
      <c r="BE258" s="5" t="str">
        <f t="shared" si="431"/>
        <v>х</v>
      </c>
      <c r="BF258" s="5" t="str">
        <f t="shared" si="431"/>
        <v>х</v>
      </c>
      <c r="BG258" s="5" t="str">
        <f>"1989"</f>
        <v>1989</v>
      </c>
      <c r="BH258" s="5" t="str">
        <f>"36,00"</f>
        <v>36,00</v>
      </c>
      <c r="BI258" s="5" t="str">
        <f>"2026"</f>
        <v>2026</v>
      </c>
      <c r="BJ258" s="5" t="str">
        <f t="shared" si="408"/>
        <v>нет</v>
      </c>
      <c r="BK258" s="5" t="str">
        <f t="shared" ref="BK258:BM275" si="432">"х"</f>
        <v>х</v>
      </c>
      <c r="BL258" s="5" t="str">
        <f t="shared" si="432"/>
        <v>х</v>
      </c>
      <c r="BM258" s="5" t="str">
        <f t="shared" si="432"/>
        <v>х</v>
      </c>
      <c r="BN258" s="5" t="str">
        <f t="shared" si="405"/>
        <v>нет</v>
      </c>
      <c r="BO258" s="5" t="str">
        <f t="shared" ref="BO258:BQ275" si="433">"х"</f>
        <v>х</v>
      </c>
      <c r="BP258" s="5" t="str">
        <f t="shared" si="433"/>
        <v>х</v>
      </c>
      <c r="BQ258" s="5" t="str">
        <f t="shared" si="433"/>
        <v>х</v>
      </c>
      <c r="BR258" s="5" t="str">
        <f>"2011"</f>
        <v>2011</v>
      </c>
      <c r="BS258" s="5" t="str">
        <f>"54,00"</f>
        <v>54,00</v>
      </c>
      <c r="BT258" s="5" t="str">
        <f>"2018"</f>
        <v>2018</v>
      </c>
      <c r="BU258" s="5" t="str">
        <f t="shared" si="339"/>
        <v>нет</v>
      </c>
      <c r="BV258" s="5" t="str">
        <f t="shared" si="427"/>
        <v>x</v>
      </c>
      <c r="BW258" s="5" t="str">
        <f t="shared" si="427"/>
        <v>x</v>
      </c>
      <c r="BX258" s="5" t="str">
        <f t="shared" si="427"/>
        <v>x</v>
      </c>
      <c r="BY258" s="5" t="str">
        <f t="shared" si="395"/>
        <v>нет</v>
      </c>
      <c r="BZ258" s="5" t="str">
        <f>"1989"</f>
        <v>1989</v>
      </c>
      <c r="CA258" s="5" t="str">
        <f>"26,00"</f>
        <v>26,00</v>
      </c>
      <c r="CB258" s="5" t="str">
        <f>"2029"</f>
        <v>2029</v>
      </c>
      <c r="CC258" s="5" t="str">
        <f>"1989"</f>
        <v>1989</v>
      </c>
      <c r="CD258" s="5" t="str">
        <f>"2,00"</f>
        <v>2,00</v>
      </c>
      <c r="CE258" s="5" t="str">
        <f>"2037"</f>
        <v>2037</v>
      </c>
      <c r="CF258" s="5" t="str">
        <f>"1989"</f>
        <v>1989</v>
      </c>
      <c r="CG258" s="5" t="str">
        <f>"2,00"</f>
        <v>2,00</v>
      </c>
      <c r="CH258" s="5" t="str">
        <f>"2039"</f>
        <v>2039</v>
      </c>
      <c r="CI258" s="5" t="str">
        <f>"6,00"</f>
        <v>6,00</v>
      </c>
      <c r="CJ258" s="5" t="str">
        <f>"2040"</f>
        <v>2040</v>
      </c>
    </row>
    <row r="259" spans="1:88" ht="11.25" customHeight="1">
      <c r="A259" s="3" t="str">
        <f>"1.246"</f>
        <v>1.246</v>
      </c>
      <c r="B259" s="4" t="str">
        <f>"г. Грязовец, ул. Революционная, д.17"</f>
        <v>г. Грязовец, ул. Революционная, д.17</v>
      </c>
      <c r="C259" s="7" t="str">
        <f>"1952"</f>
        <v>1952</v>
      </c>
      <c r="D259" s="5" t="str">
        <f>"1952"</f>
        <v>1952</v>
      </c>
      <c r="E259" s="5" t="str">
        <f>"37,00"</f>
        <v>37,00</v>
      </c>
      <c r="F259" s="5" t="str">
        <f>"2020"</f>
        <v>2020</v>
      </c>
      <c r="G259" s="5" t="str">
        <f t="shared" ref="G259:G279" si="434">"нет"</f>
        <v>нет</v>
      </c>
      <c r="H259" s="5" t="str">
        <f>""</f>
        <v/>
      </c>
      <c r="I259" s="5" t="str">
        <f>""</f>
        <v/>
      </c>
      <c r="J259" s="5" t="str">
        <f>""</f>
        <v/>
      </c>
      <c r="K259" s="5" t="str">
        <f t="shared" ref="K259:K279" si="435">"нет"</f>
        <v>нет</v>
      </c>
      <c r="L259" s="5" t="str">
        <f>""</f>
        <v/>
      </c>
      <c r="M259" s="5" t="str">
        <f>""</f>
        <v/>
      </c>
      <c r="N259" s="5" t="str">
        <f>""</f>
        <v/>
      </c>
      <c r="O259" s="8" t="str">
        <f>"1952"</f>
        <v>1952</v>
      </c>
      <c r="P259" s="5" t="str">
        <f>"36,00"</f>
        <v>36,00</v>
      </c>
      <c r="Q259" s="5" t="str">
        <f>"2020"</f>
        <v>2020</v>
      </c>
      <c r="R259" s="5" t="str">
        <f t="shared" si="386"/>
        <v>нет</v>
      </c>
      <c r="S259" s="5" t="str">
        <f t="shared" si="428"/>
        <v>х</v>
      </c>
      <c r="T259" s="5" t="str">
        <f t="shared" si="428"/>
        <v>х</v>
      </c>
      <c r="U259" s="5" t="str">
        <f t="shared" si="428"/>
        <v>х</v>
      </c>
      <c r="V259" s="5" t="str">
        <f>"нет"</f>
        <v>нет</v>
      </c>
      <c r="W259" s="5" t="str">
        <f t="shared" si="429"/>
        <v>х</v>
      </c>
      <c r="X259" s="5" t="str">
        <f t="shared" si="429"/>
        <v>х</v>
      </c>
      <c r="Y259" s="9" t="str">
        <f t="shared" si="429"/>
        <v>х</v>
      </c>
      <c r="Z259" s="5" t="str">
        <f>"1952"</f>
        <v>1952</v>
      </c>
      <c r="AA259" s="5" t="str">
        <f>"37,00"</f>
        <v>37,00</v>
      </c>
      <c r="AB259" s="5" t="str">
        <f>"2021"</f>
        <v>2021</v>
      </c>
      <c r="AC259" s="5" t="str">
        <f t="shared" si="402"/>
        <v>нет</v>
      </c>
      <c r="AD259" s="5" t="str">
        <f>""</f>
        <v/>
      </c>
      <c r="AE259" s="5" t="str">
        <f>""</f>
        <v/>
      </c>
      <c r="AF259" s="5" t="str">
        <f>""</f>
        <v/>
      </c>
      <c r="AG259" s="5" t="str">
        <f t="shared" si="403"/>
        <v>нет</v>
      </c>
      <c r="AH259" s="5" t="str">
        <f>""</f>
        <v/>
      </c>
      <c r="AI259" s="5" t="str">
        <f>""</f>
        <v/>
      </c>
      <c r="AJ259" s="5" t="str">
        <f>""</f>
        <v/>
      </c>
      <c r="AK259" s="8" t="str">
        <f>"1952"</f>
        <v>1952</v>
      </c>
      <c r="AL259" s="5" t="str">
        <f>"38,50"</f>
        <v>38,50</v>
      </c>
      <c r="AM259" s="5" t="str">
        <f>"2019"</f>
        <v>2019</v>
      </c>
      <c r="AN259" s="5" t="str">
        <f>"нет"</f>
        <v>нет</v>
      </c>
      <c r="AO259" s="5" t="str">
        <f t="shared" si="430"/>
        <v>х</v>
      </c>
      <c r="AP259" s="5" t="str">
        <f t="shared" si="430"/>
        <v>х</v>
      </c>
      <c r="AQ259" s="5" t="str">
        <f t="shared" si="430"/>
        <v>х</v>
      </c>
      <c r="AR259" s="5" t="str">
        <f>"нет"</f>
        <v>нет</v>
      </c>
      <c r="AS259" s="5" t="str">
        <f t="shared" ref="AS259:AU275" si="436">"х"</f>
        <v>х</v>
      </c>
      <c r="AT259" s="5" t="str">
        <f t="shared" si="436"/>
        <v>х</v>
      </c>
      <c r="AU259" s="5" t="str">
        <f t="shared" si="436"/>
        <v>х</v>
      </c>
      <c r="AV259" s="5" t="str">
        <f>"1952"</f>
        <v>1952</v>
      </c>
      <c r="AW259" s="5" t="str">
        <f>"36,50"</f>
        <v>36,50</v>
      </c>
      <c r="AX259" s="5" t="str">
        <f>"2022"</f>
        <v>2022</v>
      </c>
      <c r="AY259" s="5" t="str">
        <f>"нет"</f>
        <v>нет</v>
      </c>
      <c r="AZ259" s="5" t="str">
        <f t="shared" ref="AZ259:BB278" si="437">"х"</f>
        <v>х</v>
      </c>
      <c r="BA259" s="5" t="str">
        <f t="shared" si="437"/>
        <v>х</v>
      </c>
      <c r="BB259" s="5" t="str">
        <f t="shared" si="437"/>
        <v>х</v>
      </c>
      <c r="BC259" s="5" t="str">
        <f>"нет"</f>
        <v>нет</v>
      </c>
      <c r="BD259" s="5" t="str">
        <f t="shared" ref="BD259:BF278" si="438">"х"</f>
        <v>х</v>
      </c>
      <c r="BE259" s="5" t="str">
        <f t="shared" si="438"/>
        <v>х</v>
      </c>
      <c r="BF259" s="5" t="str">
        <f t="shared" si="438"/>
        <v>х</v>
      </c>
      <c r="BG259" s="5" t="str">
        <f>"1952"</f>
        <v>1952</v>
      </c>
      <c r="BH259" s="5" t="str">
        <f>"42,00"</f>
        <v>42,00</v>
      </c>
      <c r="BI259" s="5" t="str">
        <f>"2022"</f>
        <v>2022</v>
      </c>
      <c r="BJ259" s="5" t="str">
        <f t="shared" si="408"/>
        <v>нет</v>
      </c>
      <c r="BK259" s="5" t="str">
        <f t="shared" si="432"/>
        <v>х</v>
      </c>
      <c r="BL259" s="5" t="str">
        <f t="shared" si="432"/>
        <v>х</v>
      </c>
      <c r="BM259" s="5" t="str">
        <f t="shared" si="432"/>
        <v>х</v>
      </c>
      <c r="BN259" s="5" t="str">
        <f t="shared" si="405"/>
        <v>нет</v>
      </c>
      <c r="BO259" s="5" t="str">
        <f t="shared" si="433"/>
        <v>х</v>
      </c>
      <c r="BP259" s="5" t="str">
        <f t="shared" si="433"/>
        <v>х</v>
      </c>
      <c r="BQ259" s="5" t="str">
        <f t="shared" si="433"/>
        <v>х</v>
      </c>
      <c r="BR259" s="5" t="str">
        <f>"1952"</f>
        <v>1952</v>
      </c>
      <c r="BS259" s="5" t="str">
        <f>"45,00"</f>
        <v>45,00</v>
      </c>
      <c r="BT259" s="5" t="str">
        <f>"2020"</f>
        <v>2020</v>
      </c>
      <c r="BU259" s="5" t="str">
        <f t="shared" si="339"/>
        <v>нет</v>
      </c>
      <c r="BV259" s="5" t="str">
        <f t="shared" si="427"/>
        <v>x</v>
      </c>
      <c r="BW259" s="5" t="str">
        <f t="shared" si="427"/>
        <v>x</v>
      </c>
      <c r="BX259" s="5" t="str">
        <f t="shared" si="427"/>
        <v>x</v>
      </c>
      <c r="BY259" s="5" t="str">
        <f t="shared" si="395"/>
        <v>нет</v>
      </c>
      <c r="BZ259" s="5" t="str">
        <f>"1952"</f>
        <v>1952</v>
      </c>
      <c r="CA259" s="5" t="str">
        <f>"46,00"</f>
        <v>46,00</v>
      </c>
      <c r="CB259" s="5" t="str">
        <f>"2020"</f>
        <v>2020</v>
      </c>
      <c r="CC259" s="5" t="str">
        <f>"1952"</f>
        <v>1952</v>
      </c>
      <c r="CD259" s="5" t="str">
        <f>"44,00"</f>
        <v>44,00</v>
      </c>
      <c r="CE259" s="5" t="str">
        <f>"2019"</f>
        <v>2019</v>
      </c>
      <c r="CF259" s="5" t="str">
        <f>"1952"</f>
        <v>1952</v>
      </c>
      <c r="CG259" s="5" t="str">
        <f>"45,00"</f>
        <v>45,00</v>
      </c>
      <c r="CH259" s="5" t="str">
        <f>"2019"</f>
        <v>2019</v>
      </c>
      <c r="CI259" s="5" t="str">
        <f>"45,00"</f>
        <v>45,00</v>
      </c>
      <c r="CJ259" s="5" t="str">
        <f>"2023"</f>
        <v>2023</v>
      </c>
    </row>
    <row r="260" spans="1:88" ht="11.25" customHeight="1">
      <c r="A260" s="3" t="str">
        <f>"1.247"</f>
        <v>1.247</v>
      </c>
      <c r="B260" s="4" t="str">
        <f>"г. Грязовец, ул. Революционная, д.68А"</f>
        <v>г. Грязовец, ул. Революционная, д.68А</v>
      </c>
      <c r="C260" s="7" t="str">
        <f>"1972"</f>
        <v>1972</v>
      </c>
      <c r="D260" s="5" t="str">
        <f>""</f>
        <v/>
      </c>
      <c r="E260" s="5" t="str">
        <f>"35,00"</f>
        <v>35,00</v>
      </c>
      <c r="F260" s="5" t="str">
        <f>"2031"</f>
        <v>2031</v>
      </c>
      <c r="G260" s="5" t="str">
        <f t="shared" si="434"/>
        <v>нет</v>
      </c>
      <c r="H260" s="5" t="str">
        <f>""</f>
        <v/>
      </c>
      <c r="I260" s="5" t="str">
        <f>""</f>
        <v/>
      </c>
      <c r="J260" s="5" t="str">
        <f>""</f>
        <v/>
      </c>
      <c r="K260" s="5" t="str">
        <f t="shared" si="435"/>
        <v>нет</v>
      </c>
      <c r="L260" s="5" t="str">
        <f>""</f>
        <v/>
      </c>
      <c r="M260" s="5" t="str">
        <f>""</f>
        <v/>
      </c>
      <c r="N260" s="5" t="str">
        <f>""</f>
        <v/>
      </c>
      <c r="O260" s="8" t="str">
        <f t="shared" ref="O260:R261" si="439">"х"</f>
        <v>х</v>
      </c>
      <c r="P260" s="5" t="str">
        <f t="shared" si="439"/>
        <v>х</v>
      </c>
      <c r="Q260" s="5" t="str">
        <f t="shared" si="439"/>
        <v>х</v>
      </c>
      <c r="R260" s="5" t="str">
        <f t="shared" si="439"/>
        <v>х</v>
      </c>
      <c r="S260" s="5" t="str">
        <f t="shared" si="428"/>
        <v>х</v>
      </c>
      <c r="T260" s="5" t="str">
        <f t="shared" si="428"/>
        <v>х</v>
      </c>
      <c r="U260" s="5" t="str">
        <f t="shared" si="428"/>
        <v>х</v>
      </c>
      <c r="V260" s="5" t="str">
        <f>"х"</f>
        <v>х</v>
      </c>
      <c r="W260" s="5" t="str">
        <f t="shared" si="429"/>
        <v>х</v>
      </c>
      <c r="X260" s="5" t="str">
        <f t="shared" si="429"/>
        <v>х</v>
      </c>
      <c r="Y260" s="9" t="str">
        <f t="shared" si="429"/>
        <v>х</v>
      </c>
      <c r="Z260" s="5" t="str">
        <f>""</f>
        <v/>
      </c>
      <c r="AA260" s="5" t="str">
        <f>"30,00"</f>
        <v>30,00</v>
      </c>
      <c r="AB260" s="5" t="str">
        <f>"2032"</f>
        <v>2032</v>
      </c>
      <c r="AC260" s="5" t="str">
        <f t="shared" si="402"/>
        <v>нет</v>
      </c>
      <c r="AD260" s="5" t="str">
        <f>""</f>
        <v/>
      </c>
      <c r="AE260" s="5" t="str">
        <f>""</f>
        <v/>
      </c>
      <c r="AF260" s="5" t="str">
        <f>""</f>
        <v/>
      </c>
      <c r="AG260" s="5" t="str">
        <f t="shared" si="403"/>
        <v>нет</v>
      </c>
      <c r="AH260" s="5" t="str">
        <f>""</f>
        <v/>
      </c>
      <c r="AI260" s="5" t="str">
        <f>""</f>
        <v/>
      </c>
      <c r="AJ260" s="5" t="str">
        <f>""</f>
        <v/>
      </c>
      <c r="AK260" s="8" t="str">
        <f t="shared" ref="AK260:AN261" si="440">"х"</f>
        <v>х</v>
      </c>
      <c r="AL260" s="5" t="str">
        <f t="shared" si="440"/>
        <v>х</v>
      </c>
      <c r="AM260" s="5" t="str">
        <f t="shared" si="440"/>
        <v>х</v>
      </c>
      <c r="AN260" s="5" t="str">
        <f t="shared" si="440"/>
        <v>х</v>
      </c>
      <c r="AO260" s="5" t="str">
        <f t="shared" si="430"/>
        <v>х</v>
      </c>
      <c r="AP260" s="5" t="str">
        <f t="shared" si="430"/>
        <v>х</v>
      </c>
      <c r="AQ260" s="5" t="str">
        <f t="shared" si="430"/>
        <v>х</v>
      </c>
      <c r="AR260" s="5" t="str">
        <f>"х"</f>
        <v>х</v>
      </c>
      <c r="AS260" s="5" t="str">
        <f t="shared" si="436"/>
        <v>х</v>
      </c>
      <c r="AT260" s="5" t="str">
        <f t="shared" si="436"/>
        <v>х</v>
      </c>
      <c r="AU260" s="5" t="str">
        <f t="shared" si="436"/>
        <v>х</v>
      </c>
      <c r="AV260" s="5" t="str">
        <f t="shared" ref="AV260:AY261" si="441">"х"</f>
        <v>х</v>
      </c>
      <c r="AW260" s="5" t="str">
        <f t="shared" si="441"/>
        <v>х</v>
      </c>
      <c r="AX260" s="5" t="str">
        <f t="shared" si="441"/>
        <v>х</v>
      </c>
      <c r="AY260" s="5" t="str">
        <f t="shared" si="441"/>
        <v>х</v>
      </c>
      <c r="AZ260" s="5" t="str">
        <f t="shared" si="437"/>
        <v>х</v>
      </c>
      <c r="BA260" s="5" t="str">
        <f t="shared" si="437"/>
        <v>х</v>
      </c>
      <c r="BB260" s="5" t="str">
        <f t="shared" si="437"/>
        <v>х</v>
      </c>
      <c r="BC260" s="5" t="str">
        <f>"х"</f>
        <v>х</v>
      </c>
      <c r="BD260" s="5" t="str">
        <f t="shared" si="438"/>
        <v>х</v>
      </c>
      <c r="BE260" s="5" t="str">
        <f t="shared" si="438"/>
        <v>х</v>
      </c>
      <c r="BF260" s="5" t="str">
        <f t="shared" si="438"/>
        <v>х</v>
      </c>
      <c r="BG260" s="5" t="str">
        <f t="shared" ref="BG260:BJ261" si="442">"х"</f>
        <v>х</v>
      </c>
      <c r="BH260" s="5" t="str">
        <f t="shared" si="442"/>
        <v>х</v>
      </c>
      <c r="BI260" s="5" t="str">
        <f t="shared" si="442"/>
        <v>х</v>
      </c>
      <c r="BJ260" s="5" t="str">
        <f t="shared" si="442"/>
        <v>х</v>
      </c>
      <c r="BK260" s="5" t="str">
        <f t="shared" si="432"/>
        <v>х</v>
      </c>
      <c r="BL260" s="5" t="str">
        <f t="shared" si="432"/>
        <v>х</v>
      </c>
      <c r="BM260" s="5" t="str">
        <f t="shared" si="432"/>
        <v>х</v>
      </c>
      <c r="BN260" s="5" t="str">
        <f>"х"</f>
        <v>х</v>
      </c>
      <c r="BO260" s="5" t="str">
        <f t="shared" si="433"/>
        <v>х</v>
      </c>
      <c r="BP260" s="5" t="str">
        <f t="shared" si="433"/>
        <v>х</v>
      </c>
      <c r="BQ260" s="5" t="str">
        <f t="shared" si="433"/>
        <v>х</v>
      </c>
      <c r="BR260" s="5" t="str">
        <f>""</f>
        <v/>
      </c>
      <c r="BS260" s="5" t="str">
        <f>"30,00"</f>
        <v>30,00</v>
      </c>
      <c r="BT260" s="5" t="str">
        <f>"2032"</f>
        <v>2032</v>
      </c>
      <c r="BU260" s="5" t="str">
        <f t="shared" si="339"/>
        <v>нет</v>
      </c>
      <c r="BV260" s="5" t="str">
        <f t="shared" si="427"/>
        <v>x</v>
      </c>
      <c r="BW260" s="5" t="str">
        <f t="shared" si="427"/>
        <v>x</v>
      </c>
      <c r="BX260" s="5" t="str">
        <f t="shared" si="427"/>
        <v>x</v>
      </c>
      <c r="BY260" s="5" t="str">
        <f t="shared" si="395"/>
        <v>нет</v>
      </c>
      <c r="BZ260" s="5" t="str">
        <f t="shared" ref="BZ260:CB261" si="443">"x"</f>
        <v>x</v>
      </c>
      <c r="CA260" s="5" t="str">
        <f t="shared" si="443"/>
        <v>x</v>
      </c>
      <c r="CB260" s="5" t="str">
        <f t="shared" si="443"/>
        <v>x</v>
      </c>
      <c r="CC260" s="5" t="str">
        <f>""</f>
        <v/>
      </c>
      <c r="CD260" s="5" t="str">
        <f>"20,00"</f>
        <v>20,00</v>
      </c>
      <c r="CE260" s="5" t="str">
        <f>"2035"</f>
        <v>2035</v>
      </c>
      <c r="CF260" s="5" t="str">
        <f>""</f>
        <v/>
      </c>
      <c r="CG260" s="5" t="str">
        <f>"15,00"</f>
        <v>15,00</v>
      </c>
      <c r="CH260" s="5" t="str">
        <f>"2035"</f>
        <v>2035</v>
      </c>
      <c r="CI260" s="5" t="str">
        <f>"36,00"</f>
        <v>36,00</v>
      </c>
      <c r="CJ260" s="5" t="str">
        <f>"2035"</f>
        <v>2035</v>
      </c>
    </row>
    <row r="261" spans="1:88" ht="11.25" customHeight="1">
      <c r="A261" s="3" t="str">
        <f>"1.248"</f>
        <v>1.248</v>
      </c>
      <c r="B261" s="4" t="str">
        <f>"г. Грязовец, ул. Революционная, д.70"</f>
        <v>г. Грязовец, ул. Революционная, д.70</v>
      </c>
      <c r="C261" s="7" t="str">
        <f>"1988"</f>
        <v>1988</v>
      </c>
      <c r="D261" s="5" t="str">
        <f>""</f>
        <v/>
      </c>
      <c r="E261" s="5" t="str">
        <f>"10,00"</f>
        <v>10,00</v>
      </c>
      <c r="F261" s="5" t="str">
        <f>"2038"</f>
        <v>2038</v>
      </c>
      <c r="G261" s="5" t="str">
        <f t="shared" si="434"/>
        <v>нет</v>
      </c>
      <c r="H261" s="5" t="str">
        <f>""</f>
        <v/>
      </c>
      <c r="I261" s="5" t="str">
        <f>""</f>
        <v/>
      </c>
      <c r="J261" s="5" t="str">
        <f>""</f>
        <v/>
      </c>
      <c r="K261" s="5" t="str">
        <f t="shared" si="435"/>
        <v>нет</v>
      </c>
      <c r="L261" s="5" t="str">
        <f>""</f>
        <v/>
      </c>
      <c r="M261" s="5" t="str">
        <f>""</f>
        <v/>
      </c>
      <c r="N261" s="5" t="str">
        <f>""</f>
        <v/>
      </c>
      <c r="O261" s="8" t="str">
        <f t="shared" si="439"/>
        <v>х</v>
      </c>
      <c r="P261" s="5" t="str">
        <f t="shared" si="439"/>
        <v>х</v>
      </c>
      <c r="Q261" s="5" t="str">
        <f t="shared" si="439"/>
        <v>х</v>
      </c>
      <c r="R261" s="5" t="str">
        <f t="shared" si="439"/>
        <v>х</v>
      </c>
      <c r="S261" s="5" t="str">
        <f t="shared" si="428"/>
        <v>х</v>
      </c>
      <c r="T261" s="5" t="str">
        <f t="shared" si="428"/>
        <v>х</v>
      </c>
      <c r="U261" s="5" t="str">
        <f t="shared" si="428"/>
        <v>х</v>
      </c>
      <c r="V261" s="5" t="str">
        <f>"х"</f>
        <v>х</v>
      </c>
      <c r="W261" s="5" t="str">
        <f t="shared" si="429"/>
        <v>х</v>
      </c>
      <c r="X261" s="5" t="str">
        <f t="shared" si="429"/>
        <v>х</v>
      </c>
      <c r="Y261" s="9" t="str">
        <f t="shared" si="429"/>
        <v>х</v>
      </c>
      <c r="Z261" s="5" t="str">
        <f>""</f>
        <v/>
      </c>
      <c r="AA261" s="5" t="str">
        <f>"10,00"</f>
        <v>10,00</v>
      </c>
      <c r="AB261" s="5" t="str">
        <f>"2038"</f>
        <v>2038</v>
      </c>
      <c r="AC261" s="5" t="str">
        <f t="shared" si="402"/>
        <v>нет</v>
      </c>
      <c r="AD261" s="5" t="str">
        <f>""</f>
        <v/>
      </c>
      <c r="AE261" s="5" t="str">
        <f>""</f>
        <v/>
      </c>
      <c r="AF261" s="5" t="str">
        <f>""</f>
        <v/>
      </c>
      <c r="AG261" s="5" t="str">
        <f t="shared" si="403"/>
        <v>нет</v>
      </c>
      <c r="AH261" s="5" t="str">
        <f>""</f>
        <v/>
      </c>
      <c r="AI261" s="5" t="str">
        <f>""</f>
        <v/>
      </c>
      <c r="AJ261" s="5" t="str">
        <f>""</f>
        <v/>
      </c>
      <c r="AK261" s="8" t="str">
        <f t="shared" si="440"/>
        <v>х</v>
      </c>
      <c r="AL261" s="5" t="str">
        <f t="shared" si="440"/>
        <v>х</v>
      </c>
      <c r="AM261" s="5" t="str">
        <f t="shared" si="440"/>
        <v>х</v>
      </c>
      <c r="AN261" s="5" t="str">
        <f t="shared" si="440"/>
        <v>х</v>
      </c>
      <c r="AO261" s="5" t="str">
        <f t="shared" si="430"/>
        <v>х</v>
      </c>
      <c r="AP261" s="5" t="str">
        <f t="shared" si="430"/>
        <v>х</v>
      </c>
      <c r="AQ261" s="5" t="str">
        <f t="shared" si="430"/>
        <v>х</v>
      </c>
      <c r="AR261" s="5" t="str">
        <f>"х"</f>
        <v>х</v>
      </c>
      <c r="AS261" s="5" t="str">
        <f t="shared" si="436"/>
        <v>х</v>
      </c>
      <c r="AT261" s="5" t="str">
        <f t="shared" si="436"/>
        <v>х</v>
      </c>
      <c r="AU261" s="5" t="str">
        <f t="shared" si="436"/>
        <v>х</v>
      </c>
      <c r="AV261" s="5" t="str">
        <f t="shared" si="441"/>
        <v>х</v>
      </c>
      <c r="AW261" s="5" t="str">
        <f t="shared" si="441"/>
        <v>х</v>
      </c>
      <c r="AX261" s="5" t="str">
        <f t="shared" si="441"/>
        <v>х</v>
      </c>
      <c r="AY261" s="5" t="str">
        <f t="shared" si="441"/>
        <v>х</v>
      </c>
      <c r="AZ261" s="5" t="str">
        <f t="shared" si="437"/>
        <v>х</v>
      </c>
      <c r="BA261" s="5" t="str">
        <f t="shared" si="437"/>
        <v>х</v>
      </c>
      <c r="BB261" s="5" t="str">
        <f t="shared" si="437"/>
        <v>х</v>
      </c>
      <c r="BC261" s="5" t="str">
        <f>"х"</f>
        <v>х</v>
      </c>
      <c r="BD261" s="5" t="str">
        <f t="shared" si="438"/>
        <v>х</v>
      </c>
      <c r="BE261" s="5" t="str">
        <f t="shared" si="438"/>
        <v>х</v>
      </c>
      <c r="BF261" s="5" t="str">
        <f t="shared" si="438"/>
        <v>х</v>
      </c>
      <c r="BG261" s="5" t="str">
        <f t="shared" si="442"/>
        <v>х</v>
      </c>
      <c r="BH261" s="5" t="str">
        <f t="shared" si="442"/>
        <v>х</v>
      </c>
      <c r="BI261" s="5" t="str">
        <f t="shared" si="442"/>
        <v>х</v>
      </c>
      <c r="BJ261" s="5" t="str">
        <f t="shared" si="442"/>
        <v>х</v>
      </c>
      <c r="BK261" s="5" t="str">
        <f t="shared" si="432"/>
        <v>х</v>
      </c>
      <c r="BL261" s="5" t="str">
        <f t="shared" si="432"/>
        <v>х</v>
      </c>
      <c r="BM261" s="5" t="str">
        <f t="shared" si="432"/>
        <v>х</v>
      </c>
      <c r="BN261" s="5" t="str">
        <f>"х"</f>
        <v>х</v>
      </c>
      <c r="BO261" s="5" t="str">
        <f t="shared" si="433"/>
        <v>х</v>
      </c>
      <c r="BP261" s="5" t="str">
        <f t="shared" si="433"/>
        <v>х</v>
      </c>
      <c r="BQ261" s="5" t="str">
        <f t="shared" si="433"/>
        <v>х</v>
      </c>
      <c r="BR261" s="5" t="str">
        <f>""</f>
        <v/>
      </c>
      <c r="BS261" s="5" t="str">
        <f>"10,00"</f>
        <v>10,00</v>
      </c>
      <c r="BT261" s="5" t="str">
        <f>"2038"</f>
        <v>2038</v>
      </c>
      <c r="BU261" s="5" t="str">
        <f t="shared" si="339"/>
        <v>нет</v>
      </c>
      <c r="BV261" s="5" t="str">
        <f t="shared" si="427"/>
        <v>x</v>
      </c>
      <c r="BW261" s="5" t="str">
        <f t="shared" si="427"/>
        <v>x</v>
      </c>
      <c r="BX261" s="5" t="str">
        <f t="shared" si="427"/>
        <v>x</v>
      </c>
      <c r="BY261" s="5" t="str">
        <f t="shared" si="395"/>
        <v>нет</v>
      </c>
      <c r="BZ261" s="5" t="str">
        <f t="shared" si="443"/>
        <v>x</v>
      </c>
      <c r="CA261" s="5" t="str">
        <f t="shared" si="443"/>
        <v>x</v>
      </c>
      <c r="CB261" s="5" t="str">
        <f t="shared" si="443"/>
        <v>x</v>
      </c>
      <c r="CC261" s="5" t="str">
        <f>""</f>
        <v/>
      </c>
      <c r="CD261" s="5" t="str">
        <f>"10,00"</f>
        <v>10,00</v>
      </c>
      <c r="CE261" s="5" t="str">
        <f>"2038"</f>
        <v>2038</v>
      </c>
      <c r="CF261" s="5" t="str">
        <f>""</f>
        <v/>
      </c>
      <c r="CG261" s="5" t="str">
        <f>"10,00"</f>
        <v>10,00</v>
      </c>
      <c r="CH261" s="5" t="str">
        <f>"2038"</f>
        <v>2038</v>
      </c>
      <c r="CI261" s="5" t="str">
        <f>"10,00"</f>
        <v>10,00</v>
      </c>
      <c r="CJ261" s="5" t="str">
        <f>"2040"</f>
        <v>2040</v>
      </c>
    </row>
    <row r="262" spans="1:88" ht="11.25" customHeight="1">
      <c r="A262" s="3" t="str">
        <f>"1.249"</f>
        <v>1.249</v>
      </c>
      <c r="B262" s="4" t="str">
        <f>"г. Грязовец, ул. Революционная, д.72"</f>
        <v>г. Грязовец, ул. Революционная, д.72</v>
      </c>
      <c r="C262" s="7" t="str">
        <f>"1992"</f>
        <v>1992</v>
      </c>
      <c r="D262" s="5" t="str">
        <f>"1992"</f>
        <v>1992</v>
      </c>
      <c r="E262" s="5" t="str">
        <f>"3,00"</f>
        <v>3,00</v>
      </c>
      <c r="F262" s="5" t="str">
        <f>"2040"</f>
        <v>2040</v>
      </c>
      <c r="G262" s="5" t="str">
        <f t="shared" si="434"/>
        <v>нет</v>
      </c>
      <c r="H262" s="5" t="str">
        <f>""</f>
        <v/>
      </c>
      <c r="I262" s="5" t="str">
        <f>""</f>
        <v/>
      </c>
      <c r="J262" s="5" t="str">
        <f>""</f>
        <v/>
      </c>
      <c r="K262" s="5" t="str">
        <f t="shared" si="435"/>
        <v>нет</v>
      </c>
      <c r="L262" s="5" t="str">
        <f>""</f>
        <v/>
      </c>
      <c r="M262" s="5" t="str">
        <f>""</f>
        <v/>
      </c>
      <c r="N262" s="5" t="str">
        <f>""</f>
        <v/>
      </c>
      <c r="O262" s="8" t="str">
        <f>"1992"</f>
        <v>1992</v>
      </c>
      <c r="P262" s="5" t="str">
        <f>"4,00"</f>
        <v>4,00</v>
      </c>
      <c r="Q262" s="5" t="str">
        <f>"2040"</f>
        <v>2040</v>
      </c>
      <c r="R262" s="5" t="str">
        <f t="shared" ref="R262:R282" si="444">"нет"</f>
        <v>нет</v>
      </c>
      <c r="S262" s="5" t="str">
        <f t="shared" si="428"/>
        <v>х</v>
      </c>
      <c r="T262" s="5" t="str">
        <f t="shared" si="428"/>
        <v>х</v>
      </c>
      <c r="U262" s="5" t="str">
        <f t="shared" si="428"/>
        <v>х</v>
      </c>
      <c r="V262" s="5" t="str">
        <f t="shared" ref="V262:V281" si="445">"нет"</f>
        <v>нет</v>
      </c>
      <c r="W262" s="5" t="str">
        <f t="shared" si="429"/>
        <v>х</v>
      </c>
      <c r="X262" s="5" t="str">
        <f t="shared" si="429"/>
        <v>х</v>
      </c>
      <c r="Y262" s="9" t="str">
        <f t="shared" si="429"/>
        <v>х</v>
      </c>
      <c r="Z262" s="5" t="str">
        <f>"1992"</f>
        <v>1992</v>
      </c>
      <c r="AA262" s="5" t="str">
        <f>"3,00"</f>
        <v>3,00</v>
      </c>
      <c r="AB262" s="5" t="str">
        <f>"2040"</f>
        <v>2040</v>
      </c>
      <c r="AC262" s="5" t="str">
        <f t="shared" si="402"/>
        <v>нет</v>
      </c>
      <c r="AD262" s="5" t="str">
        <f>""</f>
        <v/>
      </c>
      <c r="AE262" s="5" t="str">
        <f>""</f>
        <v/>
      </c>
      <c r="AF262" s="5" t="str">
        <f>""</f>
        <v/>
      </c>
      <c r="AG262" s="5" t="str">
        <f t="shared" si="403"/>
        <v>нет</v>
      </c>
      <c r="AH262" s="5" t="str">
        <f>""</f>
        <v/>
      </c>
      <c r="AI262" s="5" t="str">
        <f>""</f>
        <v/>
      </c>
      <c r="AJ262" s="5" t="str">
        <f>""</f>
        <v/>
      </c>
      <c r="AK262" s="8" t="str">
        <f>"1992"</f>
        <v>1992</v>
      </c>
      <c r="AL262" s="5" t="str">
        <f>"4,50"</f>
        <v>4,50</v>
      </c>
      <c r="AM262" s="5" t="str">
        <f>"2040"</f>
        <v>2040</v>
      </c>
      <c r="AN262" s="5" t="str">
        <f t="shared" ref="AN262:AN269" si="446">"нет"</f>
        <v>нет</v>
      </c>
      <c r="AO262" s="5" t="str">
        <f t="shared" si="430"/>
        <v>х</v>
      </c>
      <c r="AP262" s="5" t="str">
        <f t="shared" si="430"/>
        <v>х</v>
      </c>
      <c r="AQ262" s="5" t="str">
        <f t="shared" si="430"/>
        <v>х</v>
      </c>
      <c r="AR262" s="5" t="str">
        <f t="shared" ref="AR262:AR269" si="447">"нет"</f>
        <v>нет</v>
      </c>
      <c r="AS262" s="5" t="str">
        <f t="shared" si="436"/>
        <v>х</v>
      </c>
      <c r="AT262" s="5" t="str">
        <f t="shared" si="436"/>
        <v>х</v>
      </c>
      <c r="AU262" s="5" t="str">
        <f t="shared" si="436"/>
        <v>х</v>
      </c>
      <c r="AV262" s="5" t="str">
        <f>"1992"</f>
        <v>1992</v>
      </c>
      <c r="AW262" s="5" t="str">
        <f>"2,50"</f>
        <v>2,50</v>
      </c>
      <c r="AX262" s="5" t="str">
        <f>"2041"</f>
        <v>2041</v>
      </c>
      <c r="AY262" s="5" t="str">
        <f t="shared" ref="AY262:AY269" si="448">"нет"</f>
        <v>нет</v>
      </c>
      <c r="AZ262" s="5" t="str">
        <f t="shared" si="437"/>
        <v>х</v>
      </c>
      <c r="BA262" s="5" t="str">
        <f t="shared" si="437"/>
        <v>х</v>
      </c>
      <c r="BB262" s="5" t="str">
        <f t="shared" si="437"/>
        <v>х</v>
      </c>
      <c r="BC262" s="5" t="str">
        <f t="shared" ref="BC262:BC269" si="449">"нет"</f>
        <v>нет</v>
      </c>
      <c r="BD262" s="5" t="str">
        <f t="shared" si="438"/>
        <v>х</v>
      </c>
      <c r="BE262" s="5" t="str">
        <f t="shared" si="438"/>
        <v>х</v>
      </c>
      <c r="BF262" s="5" t="str">
        <f t="shared" si="438"/>
        <v>х</v>
      </c>
      <c r="BG262" s="5" t="str">
        <f>"1992"</f>
        <v>1992</v>
      </c>
      <c r="BH262" s="5" t="str">
        <f>"5,00"</f>
        <v>5,00</v>
      </c>
      <c r="BI262" s="5" t="str">
        <f>"2041"</f>
        <v>2041</v>
      </c>
      <c r="BJ262" s="5" t="str">
        <f t="shared" ref="BJ262:BJ287" si="450">"нет"</f>
        <v>нет</v>
      </c>
      <c r="BK262" s="5" t="str">
        <f t="shared" si="432"/>
        <v>х</v>
      </c>
      <c r="BL262" s="5" t="str">
        <f t="shared" si="432"/>
        <v>х</v>
      </c>
      <c r="BM262" s="5" t="str">
        <f t="shared" si="432"/>
        <v>х</v>
      </c>
      <c r="BN262" s="5" t="str">
        <f t="shared" ref="BN262:BN287" si="451">"нет"</f>
        <v>нет</v>
      </c>
      <c r="BO262" s="5" t="str">
        <f t="shared" si="433"/>
        <v>х</v>
      </c>
      <c r="BP262" s="5" t="str">
        <f t="shared" si="433"/>
        <v>х</v>
      </c>
      <c r="BQ262" s="5" t="str">
        <f t="shared" si="433"/>
        <v>х</v>
      </c>
      <c r="BR262" s="5" t="str">
        <f>"1992"</f>
        <v>1992</v>
      </c>
      <c r="BS262" s="5" t="str">
        <f>"6,00"</f>
        <v>6,00</v>
      </c>
      <c r="BT262" s="5" t="str">
        <f>"2040"</f>
        <v>2040</v>
      </c>
      <c r="BU262" s="5" t="str">
        <f t="shared" si="339"/>
        <v>нет</v>
      </c>
      <c r="BV262" s="5" t="str">
        <f t="shared" si="427"/>
        <v>x</v>
      </c>
      <c r="BW262" s="5" t="str">
        <f t="shared" si="427"/>
        <v>x</v>
      </c>
      <c r="BX262" s="5" t="str">
        <f t="shared" si="427"/>
        <v>x</v>
      </c>
      <c r="BY262" s="5" t="str">
        <f t="shared" si="395"/>
        <v>нет</v>
      </c>
      <c r="BZ262" s="5" t="str">
        <f>"1992"</f>
        <v>1992</v>
      </c>
      <c r="CA262" s="5" t="str">
        <f>"5,50"</f>
        <v>5,50</v>
      </c>
      <c r="CB262" s="5" t="str">
        <f>"2041"</f>
        <v>2041</v>
      </c>
      <c r="CC262" s="5" t="str">
        <f>"1992"</f>
        <v>1992</v>
      </c>
      <c r="CD262" s="5" t="str">
        <f>"4,50"</f>
        <v>4,50</v>
      </c>
      <c r="CE262" s="5" t="str">
        <f>"2040"</f>
        <v>2040</v>
      </c>
      <c r="CF262" s="5" t="str">
        <f>"1992"</f>
        <v>1992</v>
      </c>
      <c r="CG262" s="5" t="str">
        <f>"5,00"</f>
        <v>5,00</v>
      </c>
      <c r="CH262" s="5" t="str">
        <f>"2040"</f>
        <v>2040</v>
      </c>
      <c r="CI262" s="5" t="str">
        <f>"6,00"</f>
        <v>6,00</v>
      </c>
      <c r="CJ262" s="5" t="str">
        <f>"2044"</f>
        <v>2044</v>
      </c>
    </row>
    <row r="263" spans="1:88" ht="11.25" customHeight="1">
      <c r="A263" s="3" t="str">
        <f>"1.250"</f>
        <v>1.250</v>
      </c>
      <c r="B263" s="4" t="str">
        <f>"г. Грязовец, ул. Румянцевой, д.15"</f>
        <v>г. Грязовец, ул. Румянцевой, д.15</v>
      </c>
      <c r="C263" s="7" t="str">
        <f>"1968"</f>
        <v>1968</v>
      </c>
      <c r="D263" s="5" t="str">
        <f>"1968"</f>
        <v>1968</v>
      </c>
      <c r="E263" s="5" t="str">
        <f>"48,00"</f>
        <v>48,00</v>
      </c>
      <c r="F263" s="5" t="str">
        <f>"2019"</f>
        <v>2019</v>
      </c>
      <c r="G263" s="5" t="str">
        <f t="shared" si="434"/>
        <v>нет</v>
      </c>
      <c r="H263" s="5" t="str">
        <f>""</f>
        <v/>
      </c>
      <c r="I263" s="5" t="str">
        <f>""</f>
        <v/>
      </c>
      <c r="J263" s="5" t="str">
        <f>""</f>
        <v/>
      </c>
      <c r="K263" s="5" t="str">
        <f t="shared" si="435"/>
        <v>нет</v>
      </c>
      <c r="L263" s="5" t="str">
        <f>""</f>
        <v/>
      </c>
      <c r="M263" s="5" t="str">
        <f>""</f>
        <v/>
      </c>
      <c r="N263" s="5" t="str">
        <f>""</f>
        <v/>
      </c>
      <c r="O263" s="8" t="str">
        <f>"1968"</f>
        <v>1968</v>
      </c>
      <c r="P263" s="5" t="str">
        <f>"49,00"</f>
        <v>49,00</v>
      </c>
      <c r="Q263" s="5" t="str">
        <f>"2020"</f>
        <v>2020</v>
      </c>
      <c r="R263" s="5" t="str">
        <f t="shared" si="444"/>
        <v>нет</v>
      </c>
      <c r="S263" s="5" t="str">
        <f t="shared" si="428"/>
        <v>х</v>
      </c>
      <c r="T263" s="5" t="str">
        <f t="shared" si="428"/>
        <v>х</v>
      </c>
      <c r="U263" s="5" t="str">
        <f t="shared" si="428"/>
        <v>х</v>
      </c>
      <c r="V263" s="5" t="str">
        <f t="shared" si="445"/>
        <v>нет</v>
      </c>
      <c r="W263" s="5" t="str">
        <f t="shared" si="429"/>
        <v>х</v>
      </c>
      <c r="X263" s="5" t="str">
        <f t="shared" si="429"/>
        <v>х</v>
      </c>
      <c r="Y263" s="9" t="str">
        <f t="shared" si="429"/>
        <v>х</v>
      </c>
      <c r="Z263" s="5" t="str">
        <f>"1968"</f>
        <v>1968</v>
      </c>
      <c r="AA263" s="5" t="str">
        <f>"48,00"</f>
        <v>48,00</v>
      </c>
      <c r="AB263" s="5" t="str">
        <f>"2020"</f>
        <v>2020</v>
      </c>
      <c r="AC263" s="5" t="str">
        <f t="shared" si="402"/>
        <v>нет</v>
      </c>
      <c r="AD263" s="5" t="str">
        <f>""</f>
        <v/>
      </c>
      <c r="AE263" s="5" t="str">
        <f>""</f>
        <v/>
      </c>
      <c r="AF263" s="5" t="str">
        <f>""</f>
        <v/>
      </c>
      <c r="AG263" s="5" t="str">
        <f t="shared" si="403"/>
        <v>нет</v>
      </c>
      <c r="AH263" s="5" t="str">
        <f>""</f>
        <v/>
      </c>
      <c r="AI263" s="5" t="str">
        <f>""</f>
        <v/>
      </c>
      <c r="AJ263" s="5" t="str">
        <f>""</f>
        <v/>
      </c>
      <c r="AK263" s="8" t="str">
        <f>"1968"</f>
        <v>1968</v>
      </c>
      <c r="AL263" s="5" t="str">
        <f>"37,00"</f>
        <v>37,00</v>
      </c>
      <c r="AM263" s="5" t="str">
        <f>"2021"</f>
        <v>2021</v>
      </c>
      <c r="AN263" s="5" t="str">
        <f t="shared" si="446"/>
        <v>нет</v>
      </c>
      <c r="AO263" s="5" t="str">
        <f t="shared" si="430"/>
        <v>х</v>
      </c>
      <c r="AP263" s="5" t="str">
        <f t="shared" si="430"/>
        <v>х</v>
      </c>
      <c r="AQ263" s="5" t="str">
        <f t="shared" si="430"/>
        <v>х</v>
      </c>
      <c r="AR263" s="5" t="str">
        <f t="shared" si="447"/>
        <v>нет</v>
      </c>
      <c r="AS263" s="5" t="str">
        <f t="shared" si="436"/>
        <v>х</v>
      </c>
      <c r="AT263" s="5" t="str">
        <f t="shared" si="436"/>
        <v>х</v>
      </c>
      <c r="AU263" s="5" t="str">
        <f t="shared" si="436"/>
        <v>х</v>
      </c>
      <c r="AV263" s="5" t="str">
        <f>"1968"</f>
        <v>1968</v>
      </c>
      <c r="AW263" s="5" t="str">
        <f>"35,00"</f>
        <v>35,00</v>
      </c>
      <c r="AX263" s="5" t="str">
        <f>"2020"</f>
        <v>2020</v>
      </c>
      <c r="AY263" s="5" t="str">
        <f t="shared" si="448"/>
        <v>нет</v>
      </c>
      <c r="AZ263" s="5" t="str">
        <f t="shared" si="437"/>
        <v>х</v>
      </c>
      <c r="BA263" s="5" t="str">
        <f t="shared" si="437"/>
        <v>х</v>
      </c>
      <c r="BB263" s="5" t="str">
        <f t="shared" si="437"/>
        <v>х</v>
      </c>
      <c r="BC263" s="5" t="str">
        <f t="shared" si="449"/>
        <v>нет</v>
      </c>
      <c r="BD263" s="5" t="str">
        <f t="shared" si="438"/>
        <v>х</v>
      </c>
      <c r="BE263" s="5" t="str">
        <f t="shared" si="438"/>
        <v>х</v>
      </c>
      <c r="BF263" s="5" t="str">
        <f t="shared" si="438"/>
        <v>х</v>
      </c>
      <c r="BG263" s="5" t="str">
        <f>"1968"</f>
        <v>1968</v>
      </c>
      <c r="BH263" s="5" t="str">
        <f>"52,00"</f>
        <v>52,00</v>
      </c>
      <c r="BI263" s="5" t="str">
        <f>"2019"</f>
        <v>2019</v>
      </c>
      <c r="BJ263" s="5" t="str">
        <f t="shared" si="450"/>
        <v>нет</v>
      </c>
      <c r="BK263" s="5" t="str">
        <f t="shared" si="432"/>
        <v>х</v>
      </c>
      <c r="BL263" s="5" t="str">
        <f t="shared" si="432"/>
        <v>х</v>
      </c>
      <c r="BM263" s="5" t="str">
        <f t="shared" si="432"/>
        <v>х</v>
      </c>
      <c r="BN263" s="5" t="str">
        <f t="shared" si="451"/>
        <v>нет</v>
      </c>
      <c r="BO263" s="5" t="str">
        <f t="shared" si="433"/>
        <v>х</v>
      </c>
      <c r="BP263" s="5" t="str">
        <f t="shared" si="433"/>
        <v>х</v>
      </c>
      <c r="BQ263" s="5" t="str">
        <f t="shared" si="433"/>
        <v>х</v>
      </c>
      <c r="BR263" s="5" t="str">
        <f>"1968"</f>
        <v>1968</v>
      </c>
      <c r="BS263" s="5" t="str">
        <f>"57,00"</f>
        <v>57,00</v>
      </c>
      <c r="BT263" s="5" t="str">
        <f>"2020"</f>
        <v>2020</v>
      </c>
      <c r="BU263" s="5" t="str">
        <f t="shared" si="339"/>
        <v>нет</v>
      </c>
      <c r="BV263" s="5" t="str">
        <f t="shared" si="427"/>
        <v>x</v>
      </c>
      <c r="BW263" s="5" t="str">
        <f t="shared" si="427"/>
        <v>x</v>
      </c>
      <c r="BX263" s="5" t="str">
        <f t="shared" si="427"/>
        <v>x</v>
      </c>
      <c r="BY263" s="5" t="str">
        <f t="shared" si="395"/>
        <v>нет</v>
      </c>
      <c r="BZ263" s="5" t="str">
        <f>"1968"</f>
        <v>1968</v>
      </c>
      <c r="CA263" s="5" t="str">
        <f>"58,00"</f>
        <v>58,00</v>
      </c>
      <c r="CB263" s="5" t="str">
        <f>"2020"</f>
        <v>2020</v>
      </c>
      <c r="CC263" s="5" t="str">
        <f>"1968"</f>
        <v>1968</v>
      </c>
      <c r="CD263" s="5" t="str">
        <f>"56,00"</f>
        <v>56,00</v>
      </c>
      <c r="CE263" s="5" t="str">
        <f>"2020"</f>
        <v>2020</v>
      </c>
      <c r="CF263" s="5" t="str">
        <f>"1968"</f>
        <v>1968</v>
      </c>
      <c r="CG263" s="5" t="str">
        <f>"57,00"</f>
        <v>57,00</v>
      </c>
      <c r="CH263" s="5" t="str">
        <f>"2020"</f>
        <v>2020</v>
      </c>
      <c r="CI263" s="5" t="str">
        <f>"57,00"</f>
        <v>57,00</v>
      </c>
      <c r="CJ263" s="5" t="str">
        <f>"2020"</f>
        <v>2020</v>
      </c>
    </row>
    <row r="264" spans="1:88" ht="11.25" customHeight="1">
      <c r="A264" s="3" t="str">
        <f>"1.251"</f>
        <v>1.251</v>
      </c>
      <c r="B264" s="4" t="str">
        <f>"г. Грязовец, ул. Румянцевой, д.16"</f>
        <v>г. Грязовец, ул. Румянцевой, д.16</v>
      </c>
      <c r="C264" s="7" t="str">
        <f>"1988"</f>
        <v>1988</v>
      </c>
      <c r="D264" s="5" t="str">
        <f>"1988"</f>
        <v>1988</v>
      </c>
      <c r="E264" s="5" t="str">
        <f>"58,00"</f>
        <v>58,00</v>
      </c>
      <c r="F264" s="5" t="str">
        <f>"2017"</f>
        <v>2017</v>
      </c>
      <c r="G264" s="5" t="str">
        <f t="shared" si="434"/>
        <v>нет</v>
      </c>
      <c r="H264" s="5" t="str">
        <f>""</f>
        <v/>
      </c>
      <c r="I264" s="5" t="str">
        <f>""</f>
        <v/>
      </c>
      <c r="J264" s="5" t="str">
        <f>""</f>
        <v/>
      </c>
      <c r="K264" s="5" t="str">
        <f t="shared" si="435"/>
        <v>нет</v>
      </c>
      <c r="L264" s="5" t="str">
        <f>""</f>
        <v/>
      </c>
      <c r="M264" s="5" t="str">
        <f>""</f>
        <v/>
      </c>
      <c r="N264" s="5" t="str">
        <f>""</f>
        <v/>
      </c>
      <c r="O264" s="8" t="str">
        <f>"1988"</f>
        <v>1988</v>
      </c>
      <c r="P264" s="5" t="str">
        <f>"55,00"</f>
        <v>55,00</v>
      </c>
      <c r="Q264" s="5" t="str">
        <f>"2017"</f>
        <v>2017</v>
      </c>
      <c r="R264" s="5" t="str">
        <f t="shared" si="444"/>
        <v>нет</v>
      </c>
      <c r="S264" s="5" t="str">
        <f t="shared" si="428"/>
        <v>х</v>
      </c>
      <c r="T264" s="5" t="str">
        <f t="shared" si="428"/>
        <v>х</v>
      </c>
      <c r="U264" s="5" t="str">
        <f t="shared" si="428"/>
        <v>х</v>
      </c>
      <c r="V264" s="5" t="str">
        <f t="shared" si="445"/>
        <v>нет</v>
      </c>
      <c r="W264" s="5" t="str">
        <f t="shared" si="429"/>
        <v>х</v>
      </c>
      <c r="X264" s="5" t="str">
        <f t="shared" si="429"/>
        <v>х</v>
      </c>
      <c r="Y264" s="9" t="str">
        <f t="shared" si="429"/>
        <v>х</v>
      </c>
      <c r="Z264" s="5" t="str">
        <f>"1988"</f>
        <v>1988</v>
      </c>
      <c r="AA264" s="5" t="str">
        <f>"16,00"</f>
        <v>16,00</v>
      </c>
      <c r="AB264" s="5" t="str">
        <f>"2030"</f>
        <v>2030</v>
      </c>
      <c r="AC264" s="5" t="str">
        <f t="shared" si="402"/>
        <v>нет</v>
      </c>
      <c r="AD264" s="5" t="str">
        <f>""</f>
        <v/>
      </c>
      <c r="AE264" s="5" t="str">
        <f>""</f>
        <v/>
      </c>
      <c r="AF264" s="5" t="str">
        <f>""</f>
        <v/>
      </c>
      <c r="AG264" s="5" t="str">
        <f t="shared" si="403"/>
        <v>нет</v>
      </c>
      <c r="AH264" s="5" t="str">
        <f>""</f>
        <v/>
      </c>
      <c r="AI264" s="5" t="str">
        <f>""</f>
        <v/>
      </c>
      <c r="AJ264" s="5" t="str">
        <f>""</f>
        <v/>
      </c>
      <c r="AK264" s="8" t="str">
        <f>"1988"</f>
        <v>1988</v>
      </c>
      <c r="AL264" s="5" t="str">
        <f>"56,00"</f>
        <v>56,00</v>
      </c>
      <c r="AM264" s="5" t="str">
        <f>"2017"</f>
        <v>2017</v>
      </c>
      <c r="AN264" s="5" t="str">
        <f t="shared" si="446"/>
        <v>нет</v>
      </c>
      <c r="AO264" s="5" t="str">
        <f t="shared" si="430"/>
        <v>х</v>
      </c>
      <c r="AP264" s="5" t="str">
        <f t="shared" si="430"/>
        <v>х</v>
      </c>
      <c r="AQ264" s="5" t="str">
        <f t="shared" si="430"/>
        <v>х</v>
      </c>
      <c r="AR264" s="5" t="str">
        <f t="shared" si="447"/>
        <v>нет</v>
      </c>
      <c r="AS264" s="5" t="str">
        <f t="shared" si="436"/>
        <v>х</v>
      </c>
      <c r="AT264" s="5" t="str">
        <f t="shared" si="436"/>
        <v>х</v>
      </c>
      <c r="AU264" s="5" t="str">
        <f t="shared" si="436"/>
        <v>х</v>
      </c>
      <c r="AV264" s="5" t="str">
        <f>"1988"</f>
        <v>1988</v>
      </c>
      <c r="AW264" s="5" t="str">
        <f>"60,00"</f>
        <v>60,00</v>
      </c>
      <c r="AX264" s="5" t="str">
        <f>"2017"</f>
        <v>2017</v>
      </c>
      <c r="AY264" s="5" t="str">
        <f t="shared" si="448"/>
        <v>нет</v>
      </c>
      <c r="AZ264" s="5" t="str">
        <f t="shared" si="437"/>
        <v>х</v>
      </c>
      <c r="BA264" s="5" t="str">
        <f t="shared" si="437"/>
        <v>х</v>
      </c>
      <c r="BB264" s="5" t="str">
        <f t="shared" si="437"/>
        <v>х</v>
      </c>
      <c r="BC264" s="5" t="str">
        <f t="shared" si="449"/>
        <v>нет</v>
      </c>
      <c r="BD264" s="5" t="str">
        <f t="shared" si="438"/>
        <v>х</v>
      </c>
      <c r="BE264" s="5" t="str">
        <f t="shared" si="438"/>
        <v>х</v>
      </c>
      <c r="BF264" s="5" t="str">
        <f t="shared" si="438"/>
        <v>х</v>
      </c>
      <c r="BG264" s="5" t="str">
        <f>"1988"</f>
        <v>1988</v>
      </c>
      <c r="BH264" s="5" t="str">
        <f>"61,00"</f>
        <v>61,00</v>
      </c>
      <c r="BI264" s="5" t="str">
        <f>"2017"</f>
        <v>2017</v>
      </c>
      <c r="BJ264" s="5" t="str">
        <f t="shared" si="450"/>
        <v>нет</v>
      </c>
      <c r="BK264" s="5" t="str">
        <f t="shared" si="432"/>
        <v>х</v>
      </c>
      <c r="BL264" s="5" t="str">
        <f t="shared" si="432"/>
        <v>х</v>
      </c>
      <c r="BM264" s="5" t="str">
        <f t="shared" si="432"/>
        <v>х</v>
      </c>
      <c r="BN264" s="5" t="str">
        <f t="shared" si="451"/>
        <v>нет</v>
      </c>
      <c r="BO264" s="5" t="str">
        <f t="shared" si="433"/>
        <v>х</v>
      </c>
      <c r="BP264" s="5" t="str">
        <f t="shared" si="433"/>
        <v>х</v>
      </c>
      <c r="BQ264" s="5" t="str">
        <f t="shared" si="433"/>
        <v>х</v>
      </c>
      <c r="BR264" s="5" t="str">
        <f>"1988"</f>
        <v>1988</v>
      </c>
      <c r="BS264" s="5" t="str">
        <f>"57,00"</f>
        <v>57,00</v>
      </c>
      <c r="BT264" s="5" t="str">
        <f>"2017"</f>
        <v>2017</v>
      </c>
      <c r="BU264" s="5" t="str">
        <f t="shared" si="339"/>
        <v>нет</v>
      </c>
      <c r="BV264" s="5" t="str">
        <f t="shared" si="427"/>
        <v>x</v>
      </c>
      <c r="BW264" s="5" t="str">
        <f t="shared" si="427"/>
        <v>x</v>
      </c>
      <c r="BX264" s="5" t="str">
        <f t="shared" si="427"/>
        <v>x</v>
      </c>
      <c r="BY264" s="5" t="str">
        <f t="shared" si="395"/>
        <v>нет</v>
      </c>
      <c r="BZ264" s="5" t="str">
        <f>"1988"</f>
        <v>1988</v>
      </c>
      <c r="CA264" s="5" t="str">
        <f>"23,00"</f>
        <v>23,00</v>
      </c>
      <c r="CB264" s="5" t="str">
        <f>"2030"</f>
        <v>2030</v>
      </c>
      <c r="CC264" s="5" t="str">
        <f>"1988"</f>
        <v>1988</v>
      </c>
      <c r="CD264" s="5" t="str">
        <f>"21,00"</f>
        <v>21,00</v>
      </c>
      <c r="CE264" s="5" t="str">
        <f>"2030"</f>
        <v>2030</v>
      </c>
      <c r="CF264" s="5" t="str">
        <f>"1988"</f>
        <v>1988</v>
      </c>
      <c r="CG264" s="5" t="str">
        <f>"22,00"</f>
        <v>22,00</v>
      </c>
      <c r="CH264" s="5" t="str">
        <f>"2030"</f>
        <v>2030</v>
      </c>
      <c r="CI264" s="5" t="str">
        <f>"22,00"</f>
        <v>22,00</v>
      </c>
      <c r="CJ264" s="5" t="str">
        <f>"2035"</f>
        <v>2035</v>
      </c>
    </row>
    <row r="265" spans="1:88" ht="11.25" customHeight="1">
      <c r="A265" s="3" t="str">
        <f>"1.252"</f>
        <v>1.252</v>
      </c>
      <c r="B265" s="4" t="str">
        <f>"г. Грязовец, ул. Румянцевой, д.17"</f>
        <v>г. Грязовец, ул. Румянцевой, д.17</v>
      </c>
      <c r="C265" s="7" t="str">
        <f>"1971"</f>
        <v>1971</v>
      </c>
      <c r="D265" s="5" t="str">
        <f>"1971"</f>
        <v>1971</v>
      </c>
      <c r="E265" s="5" t="str">
        <f>"46,00"</f>
        <v>46,00</v>
      </c>
      <c r="F265" s="5" t="str">
        <f>"2022"</f>
        <v>2022</v>
      </c>
      <c r="G265" s="5" t="str">
        <f t="shared" si="434"/>
        <v>нет</v>
      </c>
      <c r="H265" s="5" t="str">
        <f>""</f>
        <v/>
      </c>
      <c r="I265" s="5" t="str">
        <f>""</f>
        <v/>
      </c>
      <c r="J265" s="5" t="str">
        <f>""</f>
        <v/>
      </c>
      <c r="K265" s="5" t="str">
        <f t="shared" si="435"/>
        <v>нет</v>
      </c>
      <c r="L265" s="5" t="str">
        <f>""</f>
        <v/>
      </c>
      <c r="M265" s="5" t="str">
        <f>""</f>
        <v/>
      </c>
      <c r="N265" s="5" t="str">
        <f>""</f>
        <v/>
      </c>
      <c r="O265" s="8" t="str">
        <f>"1971"</f>
        <v>1971</v>
      </c>
      <c r="P265" s="5" t="str">
        <f>"47,00"</f>
        <v>47,00</v>
      </c>
      <c r="Q265" s="5" t="str">
        <f>"2022"</f>
        <v>2022</v>
      </c>
      <c r="R265" s="5" t="str">
        <f t="shared" si="444"/>
        <v>нет</v>
      </c>
      <c r="S265" s="5" t="str">
        <f t="shared" si="428"/>
        <v>х</v>
      </c>
      <c r="T265" s="5" t="str">
        <f t="shared" si="428"/>
        <v>х</v>
      </c>
      <c r="U265" s="5" t="str">
        <f t="shared" si="428"/>
        <v>х</v>
      </c>
      <c r="V265" s="5" t="str">
        <f t="shared" si="445"/>
        <v>нет</v>
      </c>
      <c r="W265" s="5" t="str">
        <f t="shared" si="429"/>
        <v>х</v>
      </c>
      <c r="X265" s="5" t="str">
        <f t="shared" si="429"/>
        <v>х</v>
      </c>
      <c r="Y265" s="9" t="str">
        <f t="shared" si="429"/>
        <v>х</v>
      </c>
      <c r="Z265" s="5" t="str">
        <f>"1971"</f>
        <v>1971</v>
      </c>
      <c r="AA265" s="5" t="str">
        <f>"44,00"</f>
        <v>44,00</v>
      </c>
      <c r="AB265" s="5" t="str">
        <f>"2022"</f>
        <v>2022</v>
      </c>
      <c r="AC265" s="5" t="str">
        <f t="shared" si="402"/>
        <v>нет</v>
      </c>
      <c r="AD265" s="5" t="str">
        <f>"х"</f>
        <v>х</v>
      </c>
      <c r="AE265" s="5" t="str">
        <f>"х"</f>
        <v>х</v>
      </c>
      <c r="AF265" s="5" t="str">
        <f>"х"</f>
        <v>х</v>
      </c>
      <c r="AG265" s="5" t="str">
        <f t="shared" si="403"/>
        <v>нет</v>
      </c>
      <c r="AH265" s="5" t="str">
        <f>"х"</f>
        <v>х</v>
      </c>
      <c r="AI265" s="5" t="str">
        <f>"х"</f>
        <v>х</v>
      </c>
      <c r="AJ265" s="5" t="str">
        <f>"х"</f>
        <v>х</v>
      </c>
      <c r="AK265" s="8" t="str">
        <f>"1971"</f>
        <v>1971</v>
      </c>
      <c r="AL265" s="5" t="str">
        <f>"48,00"</f>
        <v>48,00</v>
      </c>
      <c r="AM265" s="5" t="str">
        <f>"2020"</f>
        <v>2020</v>
      </c>
      <c r="AN265" s="5" t="str">
        <f t="shared" si="446"/>
        <v>нет</v>
      </c>
      <c r="AO265" s="5" t="str">
        <f t="shared" si="430"/>
        <v>х</v>
      </c>
      <c r="AP265" s="5" t="str">
        <f t="shared" si="430"/>
        <v>х</v>
      </c>
      <c r="AQ265" s="5" t="str">
        <f t="shared" si="430"/>
        <v>х</v>
      </c>
      <c r="AR265" s="5" t="str">
        <f t="shared" si="447"/>
        <v>нет</v>
      </c>
      <c r="AS265" s="5" t="str">
        <f t="shared" si="436"/>
        <v>х</v>
      </c>
      <c r="AT265" s="5" t="str">
        <f t="shared" si="436"/>
        <v>х</v>
      </c>
      <c r="AU265" s="5" t="str">
        <f t="shared" si="436"/>
        <v>х</v>
      </c>
      <c r="AV265" s="5" t="str">
        <f>"1971"</f>
        <v>1971</v>
      </c>
      <c r="AW265" s="5" t="str">
        <f>"49,00"</f>
        <v>49,00</v>
      </c>
      <c r="AX265" s="5" t="str">
        <f>"2020"</f>
        <v>2020</v>
      </c>
      <c r="AY265" s="5" t="str">
        <f t="shared" si="448"/>
        <v>нет</v>
      </c>
      <c r="AZ265" s="5" t="str">
        <f t="shared" si="437"/>
        <v>х</v>
      </c>
      <c r="BA265" s="5" t="str">
        <f t="shared" si="437"/>
        <v>х</v>
      </c>
      <c r="BB265" s="5" t="str">
        <f t="shared" si="437"/>
        <v>х</v>
      </c>
      <c r="BC265" s="5" t="str">
        <f t="shared" si="449"/>
        <v>нет</v>
      </c>
      <c r="BD265" s="5" t="str">
        <f t="shared" si="438"/>
        <v>х</v>
      </c>
      <c r="BE265" s="5" t="str">
        <f t="shared" si="438"/>
        <v>х</v>
      </c>
      <c r="BF265" s="5" t="str">
        <f t="shared" si="438"/>
        <v>х</v>
      </c>
      <c r="BG265" s="5" t="str">
        <f>"1971"</f>
        <v>1971</v>
      </c>
      <c r="BH265" s="5" t="str">
        <f>"56,00"</f>
        <v>56,00</v>
      </c>
      <c r="BI265" s="5" t="str">
        <f>"2018"</f>
        <v>2018</v>
      </c>
      <c r="BJ265" s="5" t="str">
        <f t="shared" si="450"/>
        <v>нет</v>
      </c>
      <c r="BK265" s="5" t="str">
        <f t="shared" si="432"/>
        <v>х</v>
      </c>
      <c r="BL265" s="5" t="str">
        <f t="shared" si="432"/>
        <v>х</v>
      </c>
      <c r="BM265" s="5" t="str">
        <f t="shared" si="432"/>
        <v>х</v>
      </c>
      <c r="BN265" s="5" t="str">
        <f t="shared" si="451"/>
        <v>нет</v>
      </c>
      <c r="BO265" s="5" t="str">
        <f t="shared" si="433"/>
        <v>х</v>
      </c>
      <c r="BP265" s="5" t="str">
        <f t="shared" si="433"/>
        <v>х</v>
      </c>
      <c r="BQ265" s="5" t="str">
        <f t="shared" si="433"/>
        <v>х</v>
      </c>
      <c r="BR265" s="5" t="str">
        <f>"1971"</f>
        <v>1971</v>
      </c>
      <c r="BS265" s="5" t="str">
        <f>"57,00"</f>
        <v>57,00</v>
      </c>
      <c r="BT265" s="5" t="str">
        <f>"2018"</f>
        <v>2018</v>
      </c>
      <c r="BU265" s="5" t="str">
        <f t="shared" si="339"/>
        <v>нет</v>
      </c>
      <c r="BV265" s="5" t="str">
        <f t="shared" si="427"/>
        <v>x</v>
      </c>
      <c r="BW265" s="5" t="str">
        <f t="shared" si="427"/>
        <v>x</v>
      </c>
      <c r="BX265" s="5" t="str">
        <f t="shared" si="427"/>
        <v>x</v>
      </c>
      <c r="BY265" s="5" t="str">
        <f t="shared" si="395"/>
        <v>нет</v>
      </c>
      <c r="BZ265" s="5" t="str">
        <f>"1971"</f>
        <v>1971</v>
      </c>
      <c r="CA265" s="5" t="str">
        <f>"56,50"</f>
        <v>56,50</v>
      </c>
      <c r="CB265" s="5" t="str">
        <f>"2018"</f>
        <v>2018</v>
      </c>
      <c r="CC265" s="5" t="str">
        <f>"1971"</f>
        <v>1971</v>
      </c>
      <c r="CD265" s="5" t="str">
        <f>"57,00"</f>
        <v>57,00</v>
      </c>
      <c r="CE265" s="5" t="str">
        <f>"2018"</f>
        <v>2018</v>
      </c>
      <c r="CF265" s="5" t="str">
        <f>"1971"</f>
        <v>1971</v>
      </c>
      <c r="CG265" s="5" t="str">
        <f>"56,50"</f>
        <v>56,50</v>
      </c>
      <c r="CH265" s="5" t="str">
        <f>"2018"</f>
        <v>2018</v>
      </c>
      <c r="CI265" s="5" t="str">
        <f>"57,00"</f>
        <v>57,00</v>
      </c>
      <c r="CJ265" s="5" t="str">
        <f>"2023"</f>
        <v>2023</v>
      </c>
    </row>
    <row r="266" spans="1:88" ht="11.25" customHeight="1">
      <c r="A266" s="3" t="str">
        <f>"1.253"</f>
        <v>1.253</v>
      </c>
      <c r="B266" s="4" t="str">
        <f>"г. Грязовец, ул. Румянцевой, д.23"</f>
        <v>г. Грязовец, ул. Румянцевой, д.23</v>
      </c>
      <c r="C266" s="7" t="str">
        <f>"1981"</f>
        <v>1981</v>
      </c>
      <c r="D266" s="5" t="str">
        <f>"1981"</f>
        <v>1981</v>
      </c>
      <c r="E266" s="5" t="str">
        <f>"17,00"</f>
        <v>17,00</v>
      </c>
      <c r="F266" s="5" t="str">
        <f>"2038"</f>
        <v>2038</v>
      </c>
      <c r="G266" s="5" t="str">
        <f t="shared" si="434"/>
        <v>нет</v>
      </c>
      <c r="H266" s="5" t="str">
        <f>""</f>
        <v/>
      </c>
      <c r="I266" s="5" t="str">
        <f>""</f>
        <v/>
      </c>
      <c r="J266" s="5" t="str">
        <f>""</f>
        <v/>
      </c>
      <c r="K266" s="5" t="str">
        <f t="shared" si="435"/>
        <v>нет</v>
      </c>
      <c r="L266" s="5" t="str">
        <f>""</f>
        <v/>
      </c>
      <c r="M266" s="5" t="str">
        <f>""</f>
        <v/>
      </c>
      <c r="N266" s="5" t="str">
        <f>""</f>
        <v/>
      </c>
      <c r="O266" s="8" t="str">
        <f>"1981"</f>
        <v>1981</v>
      </c>
      <c r="P266" s="5" t="str">
        <f>"16,50"</f>
        <v>16,50</v>
      </c>
      <c r="Q266" s="5" t="str">
        <f>"2040"</f>
        <v>2040</v>
      </c>
      <c r="R266" s="5" t="str">
        <f t="shared" si="444"/>
        <v>нет</v>
      </c>
      <c r="S266" s="5" t="str">
        <f t="shared" si="428"/>
        <v>х</v>
      </c>
      <c r="T266" s="5" t="str">
        <f t="shared" si="428"/>
        <v>х</v>
      </c>
      <c r="U266" s="5" t="str">
        <f t="shared" si="428"/>
        <v>х</v>
      </c>
      <c r="V266" s="5" t="str">
        <f t="shared" si="445"/>
        <v>нет</v>
      </c>
      <c r="W266" s="5" t="str">
        <f t="shared" si="429"/>
        <v>х</v>
      </c>
      <c r="X266" s="5" t="str">
        <f t="shared" si="429"/>
        <v>х</v>
      </c>
      <c r="Y266" s="9" t="str">
        <f t="shared" si="429"/>
        <v>х</v>
      </c>
      <c r="Z266" s="5" t="str">
        <f>"1981"</f>
        <v>1981</v>
      </c>
      <c r="AA266" s="5" t="str">
        <f>"17,00"</f>
        <v>17,00</v>
      </c>
      <c r="AB266" s="5" t="str">
        <f>"2040"</f>
        <v>2040</v>
      </c>
      <c r="AC266" s="5" t="str">
        <f t="shared" si="402"/>
        <v>нет</v>
      </c>
      <c r="AD266" s="5" t="str">
        <f>""</f>
        <v/>
      </c>
      <c r="AE266" s="5" t="str">
        <f>""</f>
        <v/>
      </c>
      <c r="AF266" s="5" t="str">
        <f>""</f>
        <v/>
      </c>
      <c r="AG266" s="5" t="str">
        <f t="shared" si="403"/>
        <v>нет</v>
      </c>
      <c r="AH266" s="5" t="str">
        <f>""</f>
        <v/>
      </c>
      <c r="AI266" s="5" t="str">
        <f>""</f>
        <v/>
      </c>
      <c r="AJ266" s="5" t="str">
        <f>""</f>
        <v/>
      </c>
      <c r="AK266" s="8" t="str">
        <f>"1981"</f>
        <v>1981</v>
      </c>
      <c r="AL266" s="5" t="str">
        <f>"15,00"</f>
        <v>15,00</v>
      </c>
      <c r="AM266" s="5" t="str">
        <f>"2040"</f>
        <v>2040</v>
      </c>
      <c r="AN266" s="5" t="str">
        <f t="shared" si="446"/>
        <v>нет</v>
      </c>
      <c r="AO266" s="5" t="str">
        <f t="shared" si="430"/>
        <v>х</v>
      </c>
      <c r="AP266" s="5" t="str">
        <f t="shared" si="430"/>
        <v>х</v>
      </c>
      <c r="AQ266" s="5" t="str">
        <f t="shared" si="430"/>
        <v>х</v>
      </c>
      <c r="AR266" s="5" t="str">
        <f t="shared" si="447"/>
        <v>нет</v>
      </c>
      <c r="AS266" s="5" t="str">
        <f t="shared" si="436"/>
        <v>х</v>
      </c>
      <c r="AT266" s="5" t="str">
        <f t="shared" si="436"/>
        <v>х</v>
      </c>
      <c r="AU266" s="5" t="str">
        <f t="shared" si="436"/>
        <v>х</v>
      </c>
      <c r="AV266" s="5" t="str">
        <f>"1981"</f>
        <v>1981</v>
      </c>
      <c r="AW266" s="5" t="str">
        <f>"19,00"</f>
        <v>19,00</v>
      </c>
      <c r="AX266" s="5" t="str">
        <f>"2039"</f>
        <v>2039</v>
      </c>
      <c r="AY266" s="5" t="str">
        <f t="shared" si="448"/>
        <v>нет</v>
      </c>
      <c r="AZ266" s="5" t="str">
        <f t="shared" si="437"/>
        <v>х</v>
      </c>
      <c r="BA266" s="5" t="str">
        <f t="shared" si="437"/>
        <v>х</v>
      </c>
      <c r="BB266" s="5" t="str">
        <f t="shared" si="437"/>
        <v>х</v>
      </c>
      <c r="BC266" s="5" t="str">
        <f t="shared" si="449"/>
        <v>нет</v>
      </c>
      <c r="BD266" s="5" t="str">
        <f t="shared" si="438"/>
        <v>х</v>
      </c>
      <c r="BE266" s="5" t="str">
        <f t="shared" si="438"/>
        <v>х</v>
      </c>
      <c r="BF266" s="5" t="str">
        <f t="shared" si="438"/>
        <v>х</v>
      </c>
      <c r="BG266" s="5" t="str">
        <f>"1981"</f>
        <v>1981</v>
      </c>
      <c r="BH266" s="5" t="str">
        <f>"22,00"</f>
        <v>22,00</v>
      </c>
      <c r="BI266" s="5" t="str">
        <f>"2038"</f>
        <v>2038</v>
      </c>
      <c r="BJ266" s="5" t="str">
        <f t="shared" si="450"/>
        <v>нет</v>
      </c>
      <c r="BK266" s="5" t="str">
        <f t="shared" si="432"/>
        <v>х</v>
      </c>
      <c r="BL266" s="5" t="str">
        <f t="shared" si="432"/>
        <v>х</v>
      </c>
      <c r="BM266" s="5" t="str">
        <f t="shared" si="432"/>
        <v>х</v>
      </c>
      <c r="BN266" s="5" t="str">
        <f t="shared" si="451"/>
        <v>нет</v>
      </c>
      <c r="BO266" s="5" t="str">
        <f t="shared" si="433"/>
        <v>х</v>
      </c>
      <c r="BP266" s="5" t="str">
        <f t="shared" si="433"/>
        <v>х</v>
      </c>
      <c r="BQ266" s="5" t="str">
        <f t="shared" si="433"/>
        <v>х</v>
      </c>
      <c r="BR266" s="5" t="str">
        <f>"1981"</f>
        <v>1981</v>
      </c>
      <c r="BS266" s="5" t="str">
        <f>"23,00"</f>
        <v>23,00</v>
      </c>
      <c r="BT266" s="5" t="str">
        <f>"2037"</f>
        <v>2037</v>
      </c>
      <c r="BU266" s="5" t="str">
        <f t="shared" si="339"/>
        <v>нет</v>
      </c>
      <c r="BV266" s="5" t="str">
        <f t="shared" si="427"/>
        <v>x</v>
      </c>
      <c r="BW266" s="5" t="str">
        <f t="shared" si="427"/>
        <v>x</v>
      </c>
      <c r="BX266" s="5" t="str">
        <f t="shared" si="427"/>
        <v>x</v>
      </c>
      <c r="BY266" s="5" t="str">
        <f t="shared" si="395"/>
        <v>нет</v>
      </c>
      <c r="BZ266" s="5" t="str">
        <f>"1981"</f>
        <v>1981</v>
      </c>
      <c r="CA266" s="5" t="str">
        <f>"21,50"</f>
        <v>21,50</v>
      </c>
      <c r="CB266" s="5" t="str">
        <f>"2037"</f>
        <v>2037</v>
      </c>
      <c r="CC266" s="5" t="str">
        <f>"1981"</f>
        <v>1981</v>
      </c>
      <c r="CD266" s="5" t="str">
        <f>"20,00"</f>
        <v>20,00</v>
      </c>
      <c r="CE266" s="5" t="str">
        <f>"2038"</f>
        <v>2038</v>
      </c>
      <c r="CF266" s="5" t="str">
        <f>"1981"</f>
        <v>1981</v>
      </c>
      <c r="CG266" s="5" t="str">
        <f>"22,00"</f>
        <v>22,00</v>
      </c>
      <c r="CH266" s="5" t="str">
        <f>"2038"</f>
        <v>2038</v>
      </c>
      <c r="CI266" s="5" t="str">
        <f>"22,00"</f>
        <v>22,00</v>
      </c>
      <c r="CJ266" s="5" t="str">
        <f>"2040"</f>
        <v>2040</v>
      </c>
    </row>
    <row r="267" spans="1:88" ht="11.25" customHeight="1">
      <c r="A267" s="3" t="str">
        <f>"1.254"</f>
        <v>1.254</v>
      </c>
      <c r="B267" s="4" t="str">
        <f>"г. Грязовец, ул. Румянцевой, д.25"</f>
        <v>г. Грязовец, ул. Румянцевой, д.25</v>
      </c>
      <c r="C267" s="7" t="str">
        <f>"1982"</f>
        <v>1982</v>
      </c>
      <c r="D267" s="5" t="str">
        <f>"1982"</f>
        <v>1982</v>
      </c>
      <c r="E267" s="5" t="str">
        <f>"15,00"</f>
        <v>15,00</v>
      </c>
      <c r="F267" s="5" t="str">
        <f>"2038"</f>
        <v>2038</v>
      </c>
      <c r="G267" s="5" t="str">
        <f t="shared" si="434"/>
        <v>нет</v>
      </c>
      <c r="H267" s="5" t="str">
        <f>""</f>
        <v/>
      </c>
      <c r="I267" s="5" t="str">
        <f>""</f>
        <v/>
      </c>
      <c r="J267" s="5" t="str">
        <f>""</f>
        <v/>
      </c>
      <c r="K267" s="5" t="str">
        <f t="shared" si="435"/>
        <v>нет</v>
      </c>
      <c r="L267" s="5" t="str">
        <f>""</f>
        <v/>
      </c>
      <c r="M267" s="5" t="str">
        <f>""</f>
        <v/>
      </c>
      <c r="N267" s="5" t="str">
        <f>""</f>
        <v/>
      </c>
      <c r="O267" s="8" t="str">
        <f>"1982"</f>
        <v>1982</v>
      </c>
      <c r="P267" s="5" t="str">
        <f>"18,00"</f>
        <v>18,00</v>
      </c>
      <c r="Q267" s="5" t="str">
        <f>"2038"</f>
        <v>2038</v>
      </c>
      <c r="R267" s="5" t="str">
        <f t="shared" si="444"/>
        <v>нет</v>
      </c>
      <c r="S267" s="5" t="str">
        <f t="shared" si="428"/>
        <v>х</v>
      </c>
      <c r="T267" s="5" t="str">
        <f t="shared" si="428"/>
        <v>х</v>
      </c>
      <c r="U267" s="5" t="str">
        <f t="shared" si="428"/>
        <v>х</v>
      </c>
      <c r="V267" s="5" t="str">
        <f t="shared" si="445"/>
        <v>нет</v>
      </c>
      <c r="W267" s="5" t="str">
        <f t="shared" si="429"/>
        <v>х</v>
      </c>
      <c r="X267" s="5" t="str">
        <f t="shared" si="429"/>
        <v>х</v>
      </c>
      <c r="Y267" s="9" t="str">
        <f t="shared" si="429"/>
        <v>х</v>
      </c>
      <c r="Z267" s="5" t="str">
        <f>"1982"</f>
        <v>1982</v>
      </c>
      <c r="AA267" s="5" t="str">
        <f>"15,00"</f>
        <v>15,00</v>
      </c>
      <c r="AB267" s="5" t="str">
        <f>"2038"</f>
        <v>2038</v>
      </c>
      <c r="AC267" s="5" t="str">
        <f t="shared" si="402"/>
        <v>нет</v>
      </c>
      <c r="AD267" s="5" t="str">
        <f>""</f>
        <v/>
      </c>
      <c r="AE267" s="5" t="str">
        <f>""</f>
        <v/>
      </c>
      <c r="AF267" s="5" t="str">
        <f>""</f>
        <v/>
      </c>
      <c r="AG267" s="5" t="str">
        <f t="shared" si="403"/>
        <v>нет</v>
      </c>
      <c r="AH267" s="5" t="str">
        <f>""</f>
        <v/>
      </c>
      <c r="AI267" s="5" t="str">
        <f>""</f>
        <v/>
      </c>
      <c r="AJ267" s="5" t="str">
        <f>""</f>
        <v/>
      </c>
      <c r="AK267" s="8" t="str">
        <f>"1982"</f>
        <v>1982</v>
      </c>
      <c r="AL267" s="5" t="str">
        <f>"14,00"</f>
        <v>14,00</v>
      </c>
      <c r="AM267" s="5" t="str">
        <f>"2038"</f>
        <v>2038</v>
      </c>
      <c r="AN267" s="5" t="str">
        <f t="shared" si="446"/>
        <v>нет</v>
      </c>
      <c r="AO267" s="5" t="str">
        <f t="shared" si="430"/>
        <v>х</v>
      </c>
      <c r="AP267" s="5" t="str">
        <f t="shared" si="430"/>
        <v>х</v>
      </c>
      <c r="AQ267" s="5" t="str">
        <f t="shared" si="430"/>
        <v>х</v>
      </c>
      <c r="AR267" s="5" t="str">
        <f t="shared" si="447"/>
        <v>нет</v>
      </c>
      <c r="AS267" s="5" t="str">
        <f t="shared" si="436"/>
        <v>х</v>
      </c>
      <c r="AT267" s="5" t="str">
        <f t="shared" si="436"/>
        <v>х</v>
      </c>
      <c r="AU267" s="5" t="str">
        <f t="shared" si="436"/>
        <v>х</v>
      </c>
      <c r="AV267" s="5" t="str">
        <f>"1982"</f>
        <v>1982</v>
      </c>
      <c r="AW267" s="5" t="str">
        <f>"15,00"</f>
        <v>15,00</v>
      </c>
      <c r="AX267" s="5" t="str">
        <f>"2038"</f>
        <v>2038</v>
      </c>
      <c r="AY267" s="5" t="str">
        <f t="shared" si="448"/>
        <v>нет</v>
      </c>
      <c r="AZ267" s="5" t="str">
        <f t="shared" si="437"/>
        <v>х</v>
      </c>
      <c r="BA267" s="5" t="str">
        <f t="shared" si="437"/>
        <v>х</v>
      </c>
      <c r="BB267" s="5" t="str">
        <f t="shared" si="437"/>
        <v>х</v>
      </c>
      <c r="BC267" s="5" t="str">
        <f t="shared" si="449"/>
        <v>нет</v>
      </c>
      <c r="BD267" s="5" t="str">
        <f t="shared" si="438"/>
        <v>х</v>
      </c>
      <c r="BE267" s="5" t="str">
        <f t="shared" si="438"/>
        <v>х</v>
      </c>
      <c r="BF267" s="5" t="str">
        <f t="shared" si="438"/>
        <v>х</v>
      </c>
      <c r="BG267" s="5" t="str">
        <f>"1982"</f>
        <v>1982</v>
      </c>
      <c r="BH267" s="5" t="str">
        <f>"17,50"</f>
        <v>17,50</v>
      </c>
      <c r="BI267" s="5" t="str">
        <f>"2038"</f>
        <v>2038</v>
      </c>
      <c r="BJ267" s="5" t="str">
        <f t="shared" si="450"/>
        <v>нет</v>
      </c>
      <c r="BK267" s="5" t="str">
        <f t="shared" si="432"/>
        <v>х</v>
      </c>
      <c r="BL267" s="5" t="str">
        <f t="shared" si="432"/>
        <v>х</v>
      </c>
      <c r="BM267" s="5" t="str">
        <f t="shared" si="432"/>
        <v>х</v>
      </c>
      <c r="BN267" s="5" t="str">
        <f t="shared" si="451"/>
        <v>нет</v>
      </c>
      <c r="BO267" s="5" t="str">
        <f t="shared" si="433"/>
        <v>х</v>
      </c>
      <c r="BP267" s="5" t="str">
        <f t="shared" si="433"/>
        <v>х</v>
      </c>
      <c r="BQ267" s="5" t="str">
        <f t="shared" si="433"/>
        <v>х</v>
      </c>
      <c r="BR267" s="5" t="str">
        <f>"1982"</f>
        <v>1982</v>
      </c>
      <c r="BS267" s="5" t="str">
        <f>"19,00"</f>
        <v>19,00</v>
      </c>
      <c r="BT267" s="5" t="str">
        <f>"2038"</f>
        <v>2038</v>
      </c>
      <c r="BU267" s="5" t="str">
        <f t="shared" si="339"/>
        <v>нет</v>
      </c>
      <c r="BV267" s="5" t="str">
        <f t="shared" si="427"/>
        <v>x</v>
      </c>
      <c r="BW267" s="5" t="str">
        <f t="shared" si="427"/>
        <v>x</v>
      </c>
      <c r="BX267" s="5" t="str">
        <f t="shared" si="427"/>
        <v>x</v>
      </c>
      <c r="BY267" s="5" t="str">
        <f t="shared" si="395"/>
        <v>нет</v>
      </c>
      <c r="BZ267" s="5" t="str">
        <f>"1982"</f>
        <v>1982</v>
      </c>
      <c r="CA267" s="5" t="str">
        <f>"18,50"</f>
        <v>18,50</v>
      </c>
      <c r="CB267" s="5" t="str">
        <f>"2040"</f>
        <v>2040</v>
      </c>
      <c r="CC267" s="5" t="str">
        <f>"1982"</f>
        <v>1982</v>
      </c>
      <c r="CD267" s="5" t="str">
        <f>"20,00"</f>
        <v>20,00</v>
      </c>
      <c r="CE267" s="5" t="str">
        <f>"2040"</f>
        <v>2040</v>
      </c>
      <c r="CF267" s="5" t="str">
        <f>"1982"</f>
        <v>1982</v>
      </c>
      <c r="CG267" s="5" t="str">
        <f>"19,00"</f>
        <v>19,00</v>
      </c>
      <c r="CH267" s="5" t="str">
        <f>"2038"</f>
        <v>2038</v>
      </c>
      <c r="CI267" s="5" t="str">
        <f>"19,00"</f>
        <v>19,00</v>
      </c>
      <c r="CJ267" s="5" t="str">
        <f>"2040"</f>
        <v>2040</v>
      </c>
    </row>
    <row r="268" spans="1:88" ht="11.25" customHeight="1">
      <c r="A268" s="3" t="str">
        <f>"1.255"</f>
        <v>1.255</v>
      </c>
      <c r="B268" s="4" t="str">
        <f>"г. Грязовец, ул. Румянцевой, д.26"</f>
        <v>г. Грязовец, ул. Румянцевой, д.26</v>
      </c>
      <c r="C268" s="7" t="str">
        <f>"1977"</f>
        <v>1977</v>
      </c>
      <c r="D268" s="5" t="str">
        <f>"1977"</f>
        <v>1977</v>
      </c>
      <c r="E268" s="5" t="str">
        <f>"20,00"</f>
        <v>20,00</v>
      </c>
      <c r="F268" s="5" t="str">
        <f>"2033"</f>
        <v>2033</v>
      </c>
      <c r="G268" s="5" t="str">
        <f t="shared" si="434"/>
        <v>нет</v>
      </c>
      <c r="H268" s="5" t="str">
        <f>""</f>
        <v/>
      </c>
      <c r="I268" s="5" t="str">
        <f>""</f>
        <v/>
      </c>
      <c r="J268" s="5" t="str">
        <f>""</f>
        <v/>
      </c>
      <c r="K268" s="5" t="str">
        <f t="shared" si="435"/>
        <v>нет</v>
      </c>
      <c r="L268" s="5" t="str">
        <f>""</f>
        <v/>
      </c>
      <c r="M268" s="5" t="str">
        <f>""</f>
        <v/>
      </c>
      <c r="N268" s="5" t="str">
        <f>""</f>
        <v/>
      </c>
      <c r="O268" s="8" t="str">
        <f>"1977"</f>
        <v>1977</v>
      </c>
      <c r="P268" s="5" t="str">
        <f>"21,00"</f>
        <v>21,00</v>
      </c>
      <c r="Q268" s="5" t="str">
        <f>"2033"</f>
        <v>2033</v>
      </c>
      <c r="R268" s="5" t="str">
        <f t="shared" si="444"/>
        <v>нет</v>
      </c>
      <c r="S268" s="5" t="str">
        <f t="shared" si="428"/>
        <v>х</v>
      </c>
      <c r="T268" s="5" t="str">
        <f t="shared" si="428"/>
        <v>х</v>
      </c>
      <c r="U268" s="5" t="str">
        <f t="shared" si="428"/>
        <v>х</v>
      </c>
      <c r="V268" s="5" t="str">
        <f t="shared" si="445"/>
        <v>нет</v>
      </c>
      <c r="W268" s="5" t="str">
        <f t="shared" si="429"/>
        <v>х</v>
      </c>
      <c r="X268" s="5" t="str">
        <f t="shared" si="429"/>
        <v>х</v>
      </c>
      <c r="Y268" s="9" t="str">
        <f t="shared" si="429"/>
        <v>х</v>
      </c>
      <c r="Z268" s="5" t="str">
        <f>"1977"</f>
        <v>1977</v>
      </c>
      <c r="AA268" s="5" t="str">
        <f>"20,00"</f>
        <v>20,00</v>
      </c>
      <c r="AB268" s="5" t="str">
        <f>"2033"</f>
        <v>2033</v>
      </c>
      <c r="AC268" s="5" t="str">
        <f t="shared" si="402"/>
        <v>нет</v>
      </c>
      <c r="AD268" s="5" t="str">
        <f>""</f>
        <v/>
      </c>
      <c r="AE268" s="5" t="str">
        <f>""</f>
        <v/>
      </c>
      <c r="AF268" s="5" t="str">
        <f>""</f>
        <v/>
      </c>
      <c r="AG268" s="5" t="str">
        <f t="shared" si="403"/>
        <v>нет</v>
      </c>
      <c r="AH268" s="5" t="str">
        <f>""</f>
        <v/>
      </c>
      <c r="AI268" s="5" t="str">
        <f>""</f>
        <v/>
      </c>
      <c r="AJ268" s="5" t="str">
        <f>""</f>
        <v/>
      </c>
      <c r="AK268" s="8" t="str">
        <f>"1977"</f>
        <v>1977</v>
      </c>
      <c r="AL268" s="5" t="str">
        <f>"21,00"</f>
        <v>21,00</v>
      </c>
      <c r="AM268" s="5" t="str">
        <f>"2033"</f>
        <v>2033</v>
      </c>
      <c r="AN268" s="5" t="str">
        <f t="shared" si="446"/>
        <v>нет</v>
      </c>
      <c r="AO268" s="5" t="str">
        <f t="shared" si="430"/>
        <v>х</v>
      </c>
      <c r="AP268" s="5" t="str">
        <f t="shared" si="430"/>
        <v>х</v>
      </c>
      <c r="AQ268" s="5" t="str">
        <f t="shared" si="430"/>
        <v>х</v>
      </c>
      <c r="AR268" s="5" t="str">
        <f t="shared" si="447"/>
        <v>нет</v>
      </c>
      <c r="AS268" s="5" t="str">
        <f t="shared" si="436"/>
        <v>х</v>
      </c>
      <c r="AT268" s="5" t="str">
        <f t="shared" si="436"/>
        <v>х</v>
      </c>
      <c r="AU268" s="5" t="str">
        <f t="shared" si="436"/>
        <v>х</v>
      </c>
      <c r="AV268" s="5" t="str">
        <f>"1977"</f>
        <v>1977</v>
      </c>
      <c r="AW268" s="5" t="str">
        <f>"19,00"</f>
        <v>19,00</v>
      </c>
      <c r="AX268" s="5" t="str">
        <f>"2033"</f>
        <v>2033</v>
      </c>
      <c r="AY268" s="5" t="str">
        <f t="shared" si="448"/>
        <v>нет</v>
      </c>
      <c r="AZ268" s="5" t="str">
        <f t="shared" si="437"/>
        <v>х</v>
      </c>
      <c r="BA268" s="5" t="str">
        <f t="shared" si="437"/>
        <v>х</v>
      </c>
      <c r="BB268" s="5" t="str">
        <f t="shared" si="437"/>
        <v>х</v>
      </c>
      <c r="BC268" s="5" t="str">
        <f t="shared" si="449"/>
        <v>нет</v>
      </c>
      <c r="BD268" s="5" t="str">
        <f t="shared" si="438"/>
        <v>х</v>
      </c>
      <c r="BE268" s="5" t="str">
        <f t="shared" si="438"/>
        <v>х</v>
      </c>
      <c r="BF268" s="5" t="str">
        <f t="shared" si="438"/>
        <v>х</v>
      </c>
      <c r="BG268" s="5" t="str">
        <f>"1977"</f>
        <v>1977</v>
      </c>
      <c r="BH268" s="5" t="str">
        <f>"23,00"</f>
        <v>23,00</v>
      </c>
      <c r="BI268" s="5" t="str">
        <f>"2033"</f>
        <v>2033</v>
      </c>
      <c r="BJ268" s="5" t="str">
        <f t="shared" si="450"/>
        <v>нет</v>
      </c>
      <c r="BK268" s="5" t="str">
        <f t="shared" si="432"/>
        <v>х</v>
      </c>
      <c r="BL268" s="5" t="str">
        <f t="shared" si="432"/>
        <v>х</v>
      </c>
      <c r="BM268" s="5" t="str">
        <f t="shared" si="432"/>
        <v>х</v>
      </c>
      <c r="BN268" s="5" t="str">
        <f t="shared" si="451"/>
        <v>нет</v>
      </c>
      <c r="BO268" s="5" t="str">
        <f t="shared" si="433"/>
        <v>х</v>
      </c>
      <c r="BP268" s="5" t="str">
        <f t="shared" si="433"/>
        <v>х</v>
      </c>
      <c r="BQ268" s="5" t="str">
        <f t="shared" si="433"/>
        <v>х</v>
      </c>
      <c r="BR268" s="5" t="str">
        <f>"1977"</f>
        <v>1977</v>
      </c>
      <c r="BS268" s="5" t="str">
        <f>"26,00"</f>
        <v>26,00</v>
      </c>
      <c r="BT268" s="5" t="str">
        <f>"2033"</f>
        <v>2033</v>
      </c>
      <c r="BU268" s="5" t="str">
        <f t="shared" si="339"/>
        <v>нет</v>
      </c>
      <c r="BV268" s="5" t="str">
        <f t="shared" si="427"/>
        <v>x</v>
      </c>
      <c r="BW268" s="5" t="str">
        <f t="shared" si="427"/>
        <v>x</v>
      </c>
      <c r="BX268" s="5" t="str">
        <f t="shared" si="427"/>
        <v>x</v>
      </c>
      <c r="BY268" s="5" t="str">
        <f t="shared" si="395"/>
        <v>нет</v>
      </c>
      <c r="BZ268" s="5" t="str">
        <f>"1977"</f>
        <v>1977</v>
      </c>
      <c r="CA268" s="5" t="str">
        <f>"25,00"</f>
        <v>25,00</v>
      </c>
      <c r="CB268" s="5" t="str">
        <f>"2035"</f>
        <v>2035</v>
      </c>
      <c r="CC268" s="5" t="str">
        <f>"1977"</f>
        <v>1977</v>
      </c>
      <c r="CD268" s="5" t="str">
        <f>"25,00"</f>
        <v>25,00</v>
      </c>
      <c r="CE268" s="5" t="str">
        <f>"2035"</f>
        <v>2035</v>
      </c>
      <c r="CF268" s="5" t="str">
        <f>"1977"</f>
        <v>1977</v>
      </c>
      <c r="CG268" s="5" t="str">
        <f>"26,00"</f>
        <v>26,00</v>
      </c>
      <c r="CH268" s="5" t="str">
        <f>"2035"</f>
        <v>2035</v>
      </c>
      <c r="CI268" s="5" t="str">
        <f>"26,00"</f>
        <v>26,00</v>
      </c>
      <c r="CJ268" s="5" t="str">
        <f>"2035"</f>
        <v>2035</v>
      </c>
    </row>
    <row r="269" spans="1:88" ht="11.25" customHeight="1">
      <c r="A269" s="3" t="str">
        <f>"1.256"</f>
        <v>1.256</v>
      </c>
      <c r="B269" s="4" t="str">
        <f>"г. Грязовец, ул. Румянцевой, д.33"</f>
        <v>г. Грязовец, ул. Румянцевой, д.33</v>
      </c>
      <c r="C269" s="7" t="str">
        <f>"1965"</f>
        <v>1965</v>
      </c>
      <c r="D269" s="5" t="str">
        <f>"1965"</f>
        <v>1965</v>
      </c>
      <c r="E269" s="5" t="str">
        <f>"28,00"</f>
        <v>28,00</v>
      </c>
      <c r="F269" s="5" t="str">
        <f>"2032"</f>
        <v>2032</v>
      </c>
      <c r="G269" s="5" t="str">
        <f t="shared" si="434"/>
        <v>нет</v>
      </c>
      <c r="H269" s="5" t="str">
        <f>""</f>
        <v/>
      </c>
      <c r="I269" s="5" t="str">
        <f>""</f>
        <v/>
      </c>
      <c r="J269" s="5" t="str">
        <f>""</f>
        <v/>
      </c>
      <c r="K269" s="5" t="str">
        <f t="shared" si="435"/>
        <v>нет</v>
      </c>
      <c r="L269" s="5" t="str">
        <f>""</f>
        <v/>
      </c>
      <c r="M269" s="5" t="str">
        <f>""</f>
        <v/>
      </c>
      <c r="N269" s="5" t="str">
        <f>""</f>
        <v/>
      </c>
      <c r="O269" s="8" t="str">
        <f>"1965"</f>
        <v>1965</v>
      </c>
      <c r="P269" s="5" t="str">
        <f>"28,00"</f>
        <v>28,00</v>
      </c>
      <c r="Q269" s="5" t="str">
        <f>"2033"</f>
        <v>2033</v>
      </c>
      <c r="R269" s="5" t="str">
        <f t="shared" si="444"/>
        <v>нет</v>
      </c>
      <c r="S269" s="5" t="str">
        <f t="shared" si="428"/>
        <v>х</v>
      </c>
      <c r="T269" s="5" t="str">
        <f t="shared" si="428"/>
        <v>х</v>
      </c>
      <c r="U269" s="5" t="str">
        <f t="shared" si="428"/>
        <v>х</v>
      </c>
      <c r="V269" s="5" t="str">
        <f t="shared" si="445"/>
        <v>нет</v>
      </c>
      <c r="W269" s="5" t="str">
        <f t="shared" si="429"/>
        <v>х</v>
      </c>
      <c r="X269" s="5" t="str">
        <f t="shared" si="429"/>
        <v>х</v>
      </c>
      <c r="Y269" s="9" t="str">
        <f t="shared" si="429"/>
        <v>х</v>
      </c>
      <c r="Z269" s="5" t="str">
        <f>"1965"</f>
        <v>1965</v>
      </c>
      <c r="AA269" s="5" t="str">
        <f>"29,00"</f>
        <v>29,00</v>
      </c>
      <c r="AB269" s="5" t="str">
        <f>"2030"</f>
        <v>2030</v>
      </c>
      <c r="AC269" s="5" t="str">
        <f t="shared" si="402"/>
        <v>нет</v>
      </c>
      <c r="AD269" s="5" t="str">
        <f>""</f>
        <v/>
      </c>
      <c r="AE269" s="5" t="str">
        <f>""</f>
        <v/>
      </c>
      <c r="AF269" s="5" t="str">
        <f>""</f>
        <v/>
      </c>
      <c r="AG269" s="5" t="str">
        <f t="shared" si="403"/>
        <v>нет</v>
      </c>
      <c r="AH269" s="5" t="str">
        <f>""</f>
        <v/>
      </c>
      <c r="AI269" s="5" t="str">
        <f>""</f>
        <v/>
      </c>
      <c r="AJ269" s="5" t="str">
        <f>""</f>
        <v/>
      </c>
      <c r="AK269" s="8" t="str">
        <f>"1965"</f>
        <v>1965</v>
      </c>
      <c r="AL269" s="5" t="str">
        <f>"29,00"</f>
        <v>29,00</v>
      </c>
      <c r="AM269" s="5" t="str">
        <f>"2030"</f>
        <v>2030</v>
      </c>
      <c r="AN269" s="5" t="str">
        <f t="shared" si="446"/>
        <v>нет</v>
      </c>
      <c r="AO269" s="5" t="str">
        <f t="shared" si="430"/>
        <v>х</v>
      </c>
      <c r="AP269" s="5" t="str">
        <f t="shared" si="430"/>
        <v>х</v>
      </c>
      <c r="AQ269" s="5" t="str">
        <f t="shared" si="430"/>
        <v>х</v>
      </c>
      <c r="AR269" s="5" t="str">
        <f t="shared" si="447"/>
        <v>нет</v>
      </c>
      <c r="AS269" s="5" t="str">
        <f t="shared" si="436"/>
        <v>х</v>
      </c>
      <c r="AT269" s="5" t="str">
        <f t="shared" si="436"/>
        <v>х</v>
      </c>
      <c r="AU269" s="5" t="str">
        <f t="shared" si="436"/>
        <v>х</v>
      </c>
      <c r="AV269" s="5" t="str">
        <f>"1965"</f>
        <v>1965</v>
      </c>
      <c r="AW269" s="5" t="str">
        <f>"27,00"</f>
        <v>27,00</v>
      </c>
      <c r="AX269" s="5" t="str">
        <f>"2026"</f>
        <v>2026</v>
      </c>
      <c r="AY269" s="5" t="str">
        <f t="shared" si="448"/>
        <v>нет</v>
      </c>
      <c r="AZ269" s="5" t="str">
        <f t="shared" si="437"/>
        <v>х</v>
      </c>
      <c r="BA269" s="5" t="str">
        <f t="shared" si="437"/>
        <v>х</v>
      </c>
      <c r="BB269" s="5" t="str">
        <f t="shared" si="437"/>
        <v>х</v>
      </c>
      <c r="BC269" s="5" t="str">
        <f t="shared" si="449"/>
        <v>нет</v>
      </c>
      <c r="BD269" s="5" t="str">
        <f t="shared" si="438"/>
        <v>х</v>
      </c>
      <c r="BE269" s="5" t="str">
        <f t="shared" si="438"/>
        <v>х</v>
      </c>
      <c r="BF269" s="5" t="str">
        <f t="shared" si="438"/>
        <v>х</v>
      </c>
      <c r="BG269" s="5" t="str">
        <f>"1965"</f>
        <v>1965</v>
      </c>
      <c r="BH269" s="5" t="str">
        <f>"29,50"</f>
        <v>29,50</v>
      </c>
      <c r="BI269" s="5" t="str">
        <f>"2030"</f>
        <v>2030</v>
      </c>
      <c r="BJ269" s="5" t="str">
        <f t="shared" si="450"/>
        <v>нет</v>
      </c>
      <c r="BK269" s="5" t="str">
        <f t="shared" si="432"/>
        <v>х</v>
      </c>
      <c r="BL269" s="5" t="str">
        <f t="shared" si="432"/>
        <v>х</v>
      </c>
      <c r="BM269" s="5" t="str">
        <f t="shared" si="432"/>
        <v>х</v>
      </c>
      <c r="BN269" s="5" t="str">
        <f t="shared" si="451"/>
        <v>нет</v>
      </c>
      <c r="BO269" s="5" t="str">
        <f t="shared" si="433"/>
        <v>х</v>
      </c>
      <c r="BP269" s="5" t="str">
        <f t="shared" si="433"/>
        <v>х</v>
      </c>
      <c r="BQ269" s="5" t="str">
        <f t="shared" si="433"/>
        <v>х</v>
      </c>
      <c r="BR269" s="5" t="str">
        <f>"1965"</f>
        <v>1965</v>
      </c>
      <c r="BS269" s="5" t="str">
        <f>"33,00"</f>
        <v>33,00</v>
      </c>
      <c r="BT269" s="5" t="str">
        <f>"2025"</f>
        <v>2025</v>
      </c>
      <c r="BU269" s="5" t="str">
        <f t="shared" si="339"/>
        <v>нет</v>
      </c>
      <c r="BV269" s="5" t="str">
        <f t="shared" si="427"/>
        <v>x</v>
      </c>
      <c r="BW269" s="5" t="str">
        <f t="shared" si="427"/>
        <v>x</v>
      </c>
      <c r="BX269" s="5" t="str">
        <f t="shared" si="427"/>
        <v>x</v>
      </c>
      <c r="BY269" s="5" t="str">
        <f t="shared" ref="BY269:BY300" si="452">"нет"</f>
        <v>нет</v>
      </c>
      <c r="BZ269" s="5" t="str">
        <f>"1965"</f>
        <v>1965</v>
      </c>
      <c r="CA269" s="5" t="str">
        <f>"32,00"</f>
        <v>32,00</v>
      </c>
      <c r="CB269" s="5" t="str">
        <f>"2025"</f>
        <v>2025</v>
      </c>
      <c r="CC269" s="5" t="str">
        <f>"1965"</f>
        <v>1965</v>
      </c>
      <c r="CD269" s="5" t="str">
        <f>"33,00"</f>
        <v>33,00</v>
      </c>
      <c r="CE269" s="5" t="str">
        <f>"2025"</f>
        <v>2025</v>
      </c>
      <c r="CF269" s="5" t="str">
        <f>"1965"</f>
        <v>1965</v>
      </c>
      <c r="CG269" s="5" t="str">
        <f>"34,00"</f>
        <v>34,00</v>
      </c>
      <c r="CH269" s="5" t="str">
        <f>"2025"</f>
        <v>2025</v>
      </c>
      <c r="CI269" s="5" t="str">
        <f>"33,00"</f>
        <v>33,00</v>
      </c>
      <c r="CJ269" s="5" t="str">
        <f>"2035"</f>
        <v>2035</v>
      </c>
    </row>
    <row r="270" spans="1:88" ht="11.25" customHeight="1">
      <c r="A270" s="3" t="str">
        <f>"1.257"</f>
        <v>1.257</v>
      </c>
      <c r="B270" s="4" t="str">
        <f>"г. Грязовец, ул. Румянцевой, д.33А"</f>
        <v>г. Грязовец, ул. Румянцевой, д.33А</v>
      </c>
      <c r="C270" s="7" t="str">
        <f>"1988"</f>
        <v>1988</v>
      </c>
      <c r="D270" s="5" t="str">
        <f>"1988"</f>
        <v>1988</v>
      </c>
      <c r="E270" s="5" t="str">
        <f>"14,00"</f>
        <v>14,00</v>
      </c>
      <c r="F270" s="5" t="str">
        <f>"2038"</f>
        <v>2038</v>
      </c>
      <c r="G270" s="5" t="str">
        <f t="shared" si="434"/>
        <v>нет</v>
      </c>
      <c r="H270" s="5" t="str">
        <f>""</f>
        <v/>
      </c>
      <c r="I270" s="5" t="str">
        <f>""</f>
        <v/>
      </c>
      <c r="J270" s="5" t="str">
        <f>""</f>
        <v/>
      </c>
      <c r="K270" s="5" t="str">
        <f t="shared" si="435"/>
        <v>нет</v>
      </c>
      <c r="L270" s="5" t="str">
        <f>""</f>
        <v/>
      </c>
      <c r="M270" s="5" t="str">
        <f>""</f>
        <v/>
      </c>
      <c r="N270" s="5" t="str">
        <f>""</f>
        <v/>
      </c>
      <c r="O270" s="8" t="str">
        <f>"1988"</f>
        <v>1988</v>
      </c>
      <c r="P270" s="5" t="str">
        <f>"13,00"</f>
        <v>13,00</v>
      </c>
      <c r="Q270" s="5" t="str">
        <f>"2038"</f>
        <v>2038</v>
      </c>
      <c r="R270" s="5" t="str">
        <f t="shared" si="444"/>
        <v>нет</v>
      </c>
      <c r="S270" s="5" t="str">
        <f t="shared" si="428"/>
        <v>х</v>
      </c>
      <c r="T270" s="5" t="str">
        <f t="shared" si="428"/>
        <v>х</v>
      </c>
      <c r="U270" s="5" t="str">
        <f t="shared" si="428"/>
        <v>х</v>
      </c>
      <c r="V270" s="5" t="str">
        <f t="shared" si="445"/>
        <v>нет</v>
      </c>
      <c r="W270" s="5" t="str">
        <f t="shared" si="429"/>
        <v>х</v>
      </c>
      <c r="X270" s="5" t="str">
        <f t="shared" si="429"/>
        <v>х</v>
      </c>
      <c r="Y270" s="9" t="str">
        <f t="shared" si="429"/>
        <v>х</v>
      </c>
      <c r="Z270" s="5" t="str">
        <f>""</f>
        <v/>
      </c>
      <c r="AA270" s="5" t="str">
        <f>"10,00"</f>
        <v>10,00</v>
      </c>
      <c r="AB270" s="5" t="str">
        <f>"2038"</f>
        <v>2038</v>
      </c>
      <c r="AC270" s="5" t="str">
        <f t="shared" si="402"/>
        <v>нет</v>
      </c>
      <c r="AD270" s="5" t="str">
        <f>""</f>
        <v/>
      </c>
      <c r="AE270" s="5" t="str">
        <f>""</f>
        <v/>
      </c>
      <c r="AF270" s="5" t="str">
        <f>""</f>
        <v/>
      </c>
      <c r="AG270" s="5" t="str">
        <f t="shared" si="403"/>
        <v>нет</v>
      </c>
      <c r="AH270" s="5" t="str">
        <f>""</f>
        <v/>
      </c>
      <c r="AI270" s="5" t="str">
        <f>""</f>
        <v/>
      </c>
      <c r="AJ270" s="5" t="str">
        <f>""</f>
        <v/>
      </c>
      <c r="AK270" s="8" t="str">
        <f>"х"</f>
        <v>х</v>
      </c>
      <c r="AL270" s="5" t="str">
        <f>"х"</f>
        <v>х</v>
      </c>
      <c r="AM270" s="5" t="str">
        <f>"х"</f>
        <v>х</v>
      </c>
      <c r="AN270" s="5" t="str">
        <f>"х"</f>
        <v>х</v>
      </c>
      <c r="AO270" s="5" t="str">
        <f t="shared" si="430"/>
        <v>х</v>
      </c>
      <c r="AP270" s="5" t="str">
        <f t="shared" si="430"/>
        <v>х</v>
      </c>
      <c r="AQ270" s="5" t="str">
        <f t="shared" si="430"/>
        <v>х</v>
      </c>
      <c r="AR270" s="5" t="str">
        <f>"х"</f>
        <v>х</v>
      </c>
      <c r="AS270" s="5" t="str">
        <f t="shared" si="436"/>
        <v>х</v>
      </c>
      <c r="AT270" s="5" t="str">
        <f t="shared" si="436"/>
        <v>х</v>
      </c>
      <c r="AU270" s="5" t="str">
        <f t="shared" si="436"/>
        <v>х</v>
      </c>
      <c r="AV270" s="5" t="str">
        <f>"х"</f>
        <v>х</v>
      </c>
      <c r="AW270" s="5" t="str">
        <f>"х"</f>
        <v>х</v>
      </c>
      <c r="AX270" s="5" t="str">
        <f>"х"</f>
        <v>х</v>
      </c>
      <c r="AY270" s="5" t="str">
        <f>"х"</f>
        <v>х</v>
      </c>
      <c r="AZ270" s="5" t="str">
        <f t="shared" si="437"/>
        <v>х</v>
      </c>
      <c r="BA270" s="5" t="str">
        <f t="shared" si="437"/>
        <v>х</v>
      </c>
      <c r="BB270" s="5" t="str">
        <f t="shared" si="437"/>
        <v>х</v>
      </c>
      <c r="BC270" s="5" t="str">
        <f>"х"</f>
        <v>х</v>
      </c>
      <c r="BD270" s="5" t="str">
        <f t="shared" si="438"/>
        <v>х</v>
      </c>
      <c r="BE270" s="5" t="str">
        <f t="shared" si="438"/>
        <v>х</v>
      </c>
      <c r="BF270" s="5" t="str">
        <f t="shared" si="438"/>
        <v>х</v>
      </c>
      <c r="BG270" s="5" t="str">
        <f>"1988"</f>
        <v>1988</v>
      </c>
      <c r="BH270" s="5" t="str">
        <f>"15,00"</f>
        <v>15,00</v>
      </c>
      <c r="BI270" s="5" t="str">
        <f>"2035"</f>
        <v>2035</v>
      </c>
      <c r="BJ270" s="5" t="str">
        <f t="shared" si="450"/>
        <v>нет</v>
      </c>
      <c r="BK270" s="5" t="str">
        <f t="shared" si="432"/>
        <v>х</v>
      </c>
      <c r="BL270" s="5" t="str">
        <f t="shared" si="432"/>
        <v>х</v>
      </c>
      <c r="BM270" s="5" t="str">
        <f t="shared" si="432"/>
        <v>х</v>
      </c>
      <c r="BN270" s="5" t="str">
        <f t="shared" si="451"/>
        <v>нет</v>
      </c>
      <c r="BO270" s="5" t="str">
        <f t="shared" si="433"/>
        <v>х</v>
      </c>
      <c r="BP270" s="5" t="str">
        <f t="shared" si="433"/>
        <v>х</v>
      </c>
      <c r="BQ270" s="5" t="str">
        <f t="shared" si="433"/>
        <v>х</v>
      </c>
      <c r="BR270" s="5" t="str">
        <f>"1988"</f>
        <v>1988</v>
      </c>
      <c r="BS270" s="5" t="str">
        <f>"16,00"</f>
        <v>16,00</v>
      </c>
      <c r="BT270" s="5" t="str">
        <f>"2037"</f>
        <v>2037</v>
      </c>
      <c r="BU270" s="5" t="str">
        <f t="shared" ref="BU270:BU298" si="453">"нет"</f>
        <v>нет</v>
      </c>
      <c r="BV270" s="5" t="str">
        <f t="shared" si="427"/>
        <v>x</v>
      </c>
      <c r="BW270" s="5" t="str">
        <f t="shared" si="427"/>
        <v>x</v>
      </c>
      <c r="BX270" s="5" t="str">
        <f t="shared" si="427"/>
        <v>x</v>
      </c>
      <c r="BY270" s="5" t="str">
        <f t="shared" si="452"/>
        <v>нет</v>
      </c>
      <c r="BZ270" s="5" t="str">
        <f>"1988"</f>
        <v>1988</v>
      </c>
      <c r="CA270" s="5" t="str">
        <f>"15,00"</f>
        <v>15,00</v>
      </c>
      <c r="CB270" s="5" t="str">
        <f>"2037"</f>
        <v>2037</v>
      </c>
      <c r="CC270" s="5" t="str">
        <f>"1988"</f>
        <v>1988</v>
      </c>
      <c r="CD270" s="5" t="str">
        <f>"15,00"</f>
        <v>15,00</v>
      </c>
      <c r="CE270" s="5" t="str">
        <f>"2037"</f>
        <v>2037</v>
      </c>
      <c r="CF270" s="5" t="str">
        <f>"1988"</f>
        <v>1988</v>
      </c>
      <c r="CG270" s="5" t="str">
        <f>"16,00"</f>
        <v>16,00</v>
      </c>
      <c r="CH270" s="5" t="str">
        <f>"2038"</f>
        <v>2038</v>
      </c>
      <c r="CI270" s="5" t="str">
        <f>"16,00"</f>
        <v>16,00</v>
      </c>
      <c r="CJ270" s="5" t="str">
        <f>"2040"</f>
        <v>2040</v>
      </c>
    </row>
    <row r="271" spans="1:88" ht="11.25" customHeight="1">
      <c r="A271" s="3" t="str">
        <f>"1.258"</f>
        <v>1.258</v>
      </c>
      <c r="B271" s="4" t="str">
        <f>"г. Грязовец, ул. Румянцевой, д.35"</f>
        <v>г. Грязовец, ул. Румянцевой, д.35</v>
      </c>
      <c r="C271" s="7" t="str">
        <f>"1993"</f>
        <v>1993</v>
      </c>
      <c r="D271" s="5" t="str">
        <f>"1993"</f>
        <v>1993</v>
      </c>
      <c r="E271" s="5" t="str">
        <f>"10,00"</f>
        <v>10,00</v>
      </c>
      <c r="F271" s="5" t="str">
        <f>"2038"</f>
        <v>2038</v>
      </c>
      <c r="G271" s="5" t="str">
        <f t="shared" si="434"/>
        <v>нет</v>
      </c>
      <c r="H271" s="5" t="str">
        <f>""</f>
        <v/>
      </c>
      <c r="I271" s="5" t="str">
        <f>""</f>
        <v/>
      </c>
      <c r="J271" s="5" t="str">
        <f>""</f>
        <v/>
      </c>
      <c r="K271" s="5" t="str">
        <f t="shared" si="435"/>
        <v>нет</v>
      </c>
      <c r="L271" s="5" t="str">
        <f>""</f>
        <v/>
      </c>
      <c r="M271" s="5" t="str">
        <f>""</f>
        <v/>
      </c>
      <c r="N271" s="5" t="str">
        <f>""</f>
        <v/>
      </c>
      <c r="O271" s="8" t="str">
        <f>"1993"</f>
        <v>1993</v>
      </c>
      <c r="P271" s="5" t="str">
        <f>"9,00"</f>
        <v>9,00</v>
      </c>
      <c r="Q271" s="5" t="str">
        <f>"2040"</f>
        <v>2040</v>
      </c>
      <c r="R271" s="5" t="str">
        <f t="shared" si="444"/>
        <v>нет</v>
      </c>
      <c r="S271" s="5" t="str">
        <f t="shared" si="428"/>
        <v>х</v>
      </c>
      <c r="T271" s="5" t="str">
        <f t="shared" si="428"/>
        <v>х</v>
      </c>
      <c r="U271" s="5" t="str">
        <f t="shared" si="428"/>
        <v>х</v>
      </c>
      <c r="V271" s="5" t="str">
        <f t="shared" si="445"/>
        <v>нет</v>
      </c>
      <c r="W271" s="5" t="str">
        <f t="shared" si="429"/>
        <v>х</v>
      </c>
      <c r="X271" s="5" t="str">
        <f t="shared" si="429"/>
        <v>х</v>
      </c>
      <c r="Y271" s="9" t="str">
        <f t="shared" si="429"/>
        <v>х</v>
      </c>
      <c r="Z271" s="5" t="str">
        <f>"1993"</f>
        <v>1993</v>
      </c>
      <c r="AA271" s="5" t="str">
        <f>"11,00"</f>
        <v>11,00</v>
      </c>
      <c r="AB271" s="5" t="str">
        <f>"2037"</f>
        <v>2037</v>
      </c>
      <c r="AC271" s="5" t="str">
        <f t="shared" si="402"/>
        <v>нет</v>
      </c>
      <c r="AD271" s="5" t="str">
        <f>""</f>
        <v/>
      </c>
      <c r="AE271" s="5" t="str">
        <f>""</f>
        <v/>
      </c>
      <c r="AF271" s="5" t="str">
        <f>""</f>
        <v/>
      </c>
      <c r="AG271" s="5" t="str">
        <f t="shared" si="403"/>
        <v>нет</v>
      </c>
      <c r="AH271" s="5" t="str">
        <f>""</f>
        <v/>
      </c>
      <c r="AI271" s="5" t="str">
        <f>""</f>
        <v/>
      </c>
      <c r="AJ271" s="5" t="str">
        <f>""</f>
        <v/>
      </c>
      <c r="AK271" s="8" t="str">
        <f>"1993"</f>
        <v>1993</v>
      </c>
      <c r="AL271" s="5" t="str">
        <f>"10,00"</f>
        <v>10,00</v>
      </c>
      <c r="AM271" s="5" t="str">
        <f>"2037"</f>
        <v>2037</v>
      </c>
      <c r="AN271" s="5" t="str">
        <f t="shared" ref="AN271:AN280" si="454">"нет"</f>
        <v>нет</v>
      </c>
      <c r="AO271" s="5" t="str">
        <f t="shared" si="430"/>
        <v>х</v>
      </c>
      <c r="AP271" s="5" t="str">
        <f t="shared" si="430"/>
        <v>х</v>
      </c>
      <c r="AQ271" s="5" t="str">
        <f t="shared" si="430"/>
        <v>х</v>
      </c>
      <c r="AR271" s="5" t="str">
        <f t="shared" ref="AR271:AR280" si="455">"нет"</f>
        <v>нет</v>
      </c>
      <c r="AS271" s="5" t="str">
        <f t="shared" si="436"/>
        <v>х</v>
      </c>
      <c r="AT271" s="5" t="str">
        <f t="shared" si="436"/>
        <v>х</v>
      </c>
      <c r="AU271" s="5" t="str">
        <f t="shared" si="436"/>
        <v>х</v>
      </c>
      <c r="AV271" s="5" t="str">
        <f>"1993"</f>
        <v>1993</v>
      </c>
      <c r="AW271" s="5" t="str">
        <f>"11,00"</f>
        <v>11,00</v>
      </c>
      <c r="AX271" s="5" t="str">
        <f>"2037"</f>
        <v>2037</v>
      </c>
      <c r="AY271" s="5" t="str">
        <f t="shared" ref="AY271:AY281" si="456">"нет"</f>
        <v>нет</v>
      </c>
      <c r="AZ271" s="5" t="str">
        <f t="shared" si="437"/>
        <v>х</v>
      </c>
      <c r="BA271" s="5" t="str">
        <f t="shared" si="437"/>
        <v>х</v>
      </c>
      <c r="BB271" s="5" t="str">
        <f t="shared" si="437"/>
        <v>х</v>
      </c>
      <c r="BC271" s="5" t="str">
        <f t="shared" ref="BC271:BC281" si="457">"нет"</f>
        <v>нет</v>
      </c>
      <c r="BD271" s="5" t="str">
        <f t="shared" si="438"/>
        <v>х</v>
      </c>
      <c r="BE271" s="5" t="str">
        <f t="shared" si="438"/>
        <v>х</v>
      </c>
      <c r="BF271" s="5" t="str">
        <f t="shared" si="438"/>
        <v>х</v>
      </c>
      <c r="BG271" s="5" t="str">
        <f>"1993"</f>
        <v>1993</v>
      </c>
      <c r="BH271" s="5" t="str">
        <f>"11,00"</f>
        <v>11,00</v>
      </c>
      <c r="BI271" s="5" t="str">
        <f>"2037"</f>
        <v>2037</v>
      </c>
      <c r="BJ271" s="5" t="str">
        <f t="shared" si="450"/>
        <v>нет</v>
      </c>
      <c r="BK271" s="5" t="str">
        <f t="shared" si="432"/>
        <v>х</v>
      </c>
      <c r="BL271" s="5" t="str">
        <f t="shared" si="432"/>
        <v>х</v>
      </c>
      <c r="BM271" s="5" t="str">
        <f t="shared" si="432"/>
        <v>х</v>
      </c>
      <c r="BN271" s="5" t="str">
        <f t="shared" si="451"/>
        <v>нет</v>
      </c>
      <c r="BO271" s="5" t="str">
        <f t="shared" si="433"/>
        <v>х</v>
      </c>
      <c r="BP271" s="5" t="str">
        <f t="shared" si="433"/>
        <v>х</v>
      </c>
      <c r="BQ271" s="5" t="str">
        <f t="shared" si="433"/>
        <v>х</v>
      </c>
      <c r="BR271" s="5" t="str">
        <f>"1993"</f>
        <v>1993</v>
      </c>
      <c r="BS271" s="5" t="str">
        <f>"12,00"</f>
        <v>12,00</v>
      </c>
      <c r="BT271" s="5" t="str">
        <f>"2037"</f>
        <v>2037</v>
      </c>
      <c r="BU271" s="5" t="str">
        <f t="shared" si="453"/>
        <v>нет</v>
      </c>
      <c r="BV271" s="5" t="str">
        <f t="shared" si="427"/>
        <v>x</v>
      </c>
      <c r="BW271" s="5" t="str">
        <f t="shared" si="427"/>
        <v>x</v>
      </c>
      <c r="BX271" s="5" t="str">
        <f t="shared" si="427"/>
        <v>x</v>
      </c>
      <c r="BY271" s="5" t="str">
        <f t="shared" si="452"/>
        <v>нет</v>
      </c>
      <c r="BZ271" s="5" t="str">
        <f>"1993"</f>
        <v>1993</v>
      </c>
      <c r="CA271" s="5" t="str">
        <f>"11,00"</f>
        <v>11,00</v>
      </c>
      <c r="CB271" s="5" t="str">
        <f>"x"</f>
        <v>x</v>
      </c>
      <c r="CC271" s="5" t="str">
        <f>"1993"</f>
        <v>1993</v>
      </c>
      <c r="CD271" s="5" t="str">
        <f>"11,00"</f>
        <v>11,00</v>
      </c>
      <c r="CE271" s="5" t="str">
        <f>"2037"</f>
        <v>2037</v>
      </c>
      <c r="CF271" s="5" t="str">
        <f>"1993"</f>
        <v>1993</v>
      </c>
      <c r="CG271" s="5" t="str">
        <f>"12,00"</f>
        <v>12,00</v>
      </c>
      <c r="CH271" s="5" t="str">
        <f>"2036"</f>
        <v>2036</v>
      </c>
      <c r="CI271" s="5" t="str">
        <f>"12,00"</f>
        <v>12,00</v>
      </c>
      <c r="CJ271" s="5" t="str">
        <f>"2040"</f>
        <v>2040</v>
      </c>
    </row>
    <row r="272" spans="1:88" ht="11.25" customHeight="1">
      <c r="A272" s="3" t="str">
        <f>"1.259"</f>
        <v>1.259</v>
      </c>
      <c r="B272" s="4" t="str">
        <f>"г. Грязовец, ул. Румянцевой, д.4"</f>
        <v>г. Грязовец, ул. Румянцевой, д.4</v>
      </c>
      <c r="C272" s="7" t="str">
        <f>"1981"</f>
        <v>1981</v>
      </c>
      <c r="D272" s="5" t="str">
        <f>"1981"</f>
        <v>1981</v>
      </c>
      <c r="E272" s="5" t="str">
        <f>"9,00"</f>
        <v>9,00</v>
      </c>
      <c r="F272" s="5" t="str">
        <f>"2038"</f>
        <v>2038</v>
      </c>
      <c r="G272" s="5" t="str">
        <f t="shared" si="434"/>
        <v>нет</v>
      </c>
      <c r="H272" s="5" t="str">
        <f>""</f>
        <v/>
      </c>
      <c r="I272" s="5" t="str">
        <f>""</f>
        <v/>
      </c>
      <c r="J272" s="5" t="str">
        <f>""</f>
        <v/>
      </c>
      <c r="K272" s="5" t="str">
        <f t="shared" si="435"/>
        <v>нет</v>
      </c>
      <c r="L272" s="5" t="str">
        <f>""</f>
        <v/>
      </c>
      <c r="M272" s="5" t="str">
        <f>""</f>
        <v/>
      </c>
      <c r="N272" s="5" t="str">
        <f>""</f>
        <v/>
      </c>
      <c r="O272" s="8" t="str">
        <f>"1981"</f>
        <v>1981</v>
      </c>
      <c r="P272" s="5" t="str">
        <f>"11,00"</f>
        <v>11,00</v>
      </c>
      <c r="Q272" s="5" t="str">
        <f>"2038"</f>
        <v>2038</v>
      </c>
      <c r="R272" s="5" t="str">
        <f t="shared" si="444"/>
        <v>нет</v>
      </c>
      <c r="S272" s="5" t="str">
        <f t="shared" si="428"/>
        <v>х</v>
      </c>
      <c r="T272" s="5" t="str">
        <f t="shared" si="428"/>
        <v>х</v>
      </c>
      <c r="U272" s="5" t="str">
        <f t="shared" si="428"/>
        <v>х</v>
      </c>
      <c r="V272" s="5" t="str">
        <f t="shared" si="445"/>
        <v>нет</v>
      </c>
      <c r="W272" s="5" t="str">
        <f t="shared" si="429"/>
        <v>х</v>
      </c>
      <c r="X272" s="5" t="str">
        <f t="shared" si="429"/>
        <v>х</v>
      </c>
      <c r="Y272" s="9" t="str">
        <f t="shared" si="429"/>
        <v>х</v>
      </c>
      <c r="Z272" s="5" t="str">
        <f>"1981"</f>
        <v>1981</v>
      </c>
      <c r="AA272" s="5" t="str">
        <f>"11,00"</f>
        <v>11,00</v>
      </c>
      <c r="AB272" s="5" t="str">
        <f>"2036"</f>
        <v>2036</v>
      </c>
      <c r="AC272" s="5" t="str">
        <f t="shared" si="402"/>
        <v>нет</v>
      </c>
      <c r="AD272" s="5" t="str">
        <f>""</f>
        <v/>
      </c>
      <c r="AE272" s="5" t="str">
        <f>""</f>
        <v/>
      </c>
      <c r="AF272" s="5" t="str">
        <f>""</f>
        <v/>
      </c>
      <c r="AG272" s="5" t="str">
        <f t="shared" si="403"/>
        <v>нет</v>
      </c>
      <c r="AH272" s="5" t="str">
        <f>""</f>
        <v/>
      </c>
      <c r="AI272" s="5" t="str">
        <f>""</f>
        <v/>
      </c>
      <c r="AJ272" s="5" t="str">
        <f>""</f>
        <v/>
      </c>
      <c r="AK272" s="8" t="str">
        <f>"1981"</f>
        <v>1981</v>
      </c>
      <c r="AL272" s="5" t="str">
        <f>"10,00"</f>
        <v>10,00</v>
      </c>
      <c r="AM272" s="5" t="str">
        <f>"2036"</f>
        <v>2036</v>
      </c>
      <c r="AN272" s="5" t="str">
        <f t="shared" si="454"/>
        <v>нет</v>
      </c>
      <c r="AO272" s="5" t="str">
        <f t="shared" si="430"/>
        <v>х</v>
      </c>
      <c r="AP272" s="5" t="str">
        <f t="shared" si="430"/>
        <v>х</v>
      </c>
      <c r="AQ272" s="5" t="str">
        <f t="shared" si="430"/>
        <v>х</v>
      </c>
      <c r="AR272" s="5" t="str">
        <f t="shared" si="455"/>
        <v>нет</v>
      </c>
      <c r="AS272" s="5" t="str">
        <f t="shared" si="436"/>
        <v>х</v>
      </c>
      <c r="AT272" s="5" t="str">
        <f t="shared" si="436"/>
        <v>х</v>
      </c>
      <c r="AU272" s="5" t="str">
        <f t="shared" si="436"/>
        <v>х</v>
      </c>
      <c r="AV272" s="5" t="str">
        <f>"1981"</f>
        <v>1981</v>
      </c>
      <c r="AW272" s="5" t="str">
        <f>"11,00"</f>
        <v>11,00</v>
      </c>
      <c r="AX272" s="5" t="str">
        <f>"2036"</f>
        <v>2036</v>
      </c>
      <c r="AY272" s="5" t="str">
        <f t="shared" si="456"/>
        <v>нет</v>
      </c>
      <c r="AZ272" s="5" t="str">
        <f t="shared" si="437"/>
        <v>х</v>
      </c>
      <c r="BA272" s="5" t="str">
        <f t="shared" si="437"/>
        <v>х</v>
      </c>
      <c r="BB272" s="5" t="str">
        <f t="shared" si="437"/>
        <v>х</v>
      </c>
      <c r="BC272" s="5" t="str">
        <f t="shared" si="457"/>
        <v>нет</v>
      </c>
      <c r="BD272" s="5" t="str">
        <f t="shared" si="438"/>
        <v>х</v>
      </c>
      <c r="BE272" s="5" t="str">
        <f t="shared" si="438"/>
        <v>х</v>
      </c>
      <c r="BF272" s="5" t="str">
        <f t="shared" si="438"/>
        <v>х</v>
      </c>
      <c r="BG272" s="5" t="str">
        <f>"1981"</f>
        <v>1981</v>
      </c>
      <c r="BH272" s="5" t="str">
        <f>"12,00"</f>
        <v>12,00</v>
      </c>
      <c r="BI272" s="5" t="str">
        <f>"2036"</f>
        <v>2036</v>
      </c>
      <c r="BJ272" s="5" t="str">
        <f t="shared" si="450"/>
        <v>нет</v>
      </c>
      <c r="BK272" s="5" t="str">
        <f t="shared" si="432"/>
        <v>х</v>
      </c>
      <c r="BL272" s="5" t="str">
        <f t="shared" si="432"/>
        <v>х</v>
      </c>
      <c r="BM272" s="5" t="str">
        <f t="shared" si="432"/>
        <v>х</v>
      </c>
      <c r="BN272" s="5" t="str">
        <f t="shared" si="451"/>
        <v>нет</v>
      </c>
      <c r="BO272" s="5" t="str">
        <f t="shared" si="433"/>
        <v>х</v>
      </c>
      <c r="BP272" s="5" t="str">
        <f t="shared" si="433"/>
        <v>х</v>
      </c>
      <c r="BQ272" s="5" t="str">
        <f t="shared" si="433"/>
        <v>х</v>
      </c>
      <c r="BR272" s="5" t="str">
        <f>"1981"</f>
        <v>1981</v>
      </c>
      <c r="BS272" s="5" t="str">
        <f>"13,00"</f>
        <v>13,00</v>
      </c>
      <c r="BT272" s="5" t="str">
        <f>"2035"</f>
        <v>2035</v>
      </c>
      <c r="BU272" s="5" t="str">
        <f t="shared" si="453"/>
        <v>нет</v>
      </c>
      <c r="BV272" s="5" t="str">
        <f t="shared" si="427"/>
        <v>x</v>
      </c>
      <c r="BW272" s="5" t="str">
        <f t="shared" si="427"/>
        <v>x</v>
      </c>
      <c r="BX272" s="5" t="str">
        <f t="shared" si="427"/>
        <v>x</v>
      </c>
      <c r="BY272" s="5" t="str">
        <f t="shared" si="452"/>
        <v>нет</v>
      </c>
      <c r="BZ272" s="5" t="str">
        <f>"1981"</f>
        <v>1981</v>
      </c>
      <c r="CA272" s="5" t="str">
        <f>"12,00"</f>
        <v>12,00</v>
      </c>
      <c r="CB272" s="5" t="str">
        <f>"2036"</f>
        <v>2036</v>
      </c>
      <c r="CC272" s="5" t="str">
        <f>"1981"</f>
        <v>1981</v>
      </c>
      <c r="CD272" s="5" t="str">
        <f>"12,00"</f>
        <v>12,00</v>
      </c>
      <c r="CE272" s="5" t="str">
        <f>"2036"</f>
        <v>2036</v>
      </c>
      <c r="CF272" s="5" t="str">
        <f>"1981"</f>
        <v>1981</v>
      </c>
      <c r="CG272" s="5" t="str">
        <f>"13,00"</f>
        <v>13,00</v>
      </c>
      <c r="CH272" s="5" t="str">
        <f>"2036"</f>
        <v>2036</v>
      </c>
      <c r="CI272" s="5" t="str">
        <f>"13,00"</f>
        <v>13,00</v>
      </c>
      <c r="CJ272" s="5" t="str">
        <f>"2042"</f>
        <v>2042</v>
      </c>
    </row>
    <row r="273" spans="1:88" ht="11.25" customHeight="1">
      <c r="A273" s="3" t="str">
        <f>"1.260"</f>
        <v>1.260</v>
      </c>
      <c r="B273" s="4" t="str">
        <f>"г. Грязовец, ул. Румянцевой, д.45"</f>
        <v>г. Грязовец, ул. Румянцевой, д.45</v>
      </c>
      <c r="C273" s="7" t="str">
        <f>"1970"</f>
        <v>1970</v>
      </c>
      <c r="D273" s="5" t="str">
        <f>"1970"</f>
        <v>1970</v>
      </c>
      <c r="E273" s="5" t="str">
        <f>"38,00"</f>
        <v>38,00</v>
      </c>
      <c r="F273" s="5" t="str">
        <f>"2024"</f>
        <v>2024</v>
      </c>
      <c r="G273" s="5" t="str">
        <f t="shared" si="434"/>
        <v>нет</v>
      </c>
      <c r="H273" s="5" t="str">
        <f>""</f>
        <v/>
      </c>
      <c r="I273" s="5" t="str">
        <f>""</f>
        <v/>
      </c>
      <c r="J273" s="5" t="str">
        <f>""</f>
        <v/>
      </c>
      <c r="K273" s="5" t="str">
        <f t="shared" si="435"/>
        <v>нет</v>
      </c>
      <c r="L273" s="5" t="str">
        <f>""</f>
        <v/>
      </c>
      <c r="M273" s="5" t="str">
        <f>""</f>
        <v/>
      </c>
      <c r="N273" s="5" t="str">
        <f>""</f>
        <v/>
      </c>
      <c r="O273" s="8" t="str">
        <f>"1970"</f>
        <v>1970</v>
      </c>
      <c r="P273" s="5" t="str">
        <f>"40,00"</f>
        <v>40,00</v>
      </c>
      <c r="Q273" s="5" t="str">
        <f>"2024"</f>
        <v>2024</v>
      </c>
      <c r="R273" s="5" t="str">
        <f t="shared" si="444"/>
        <v>нет</v>
      </c>
      <c r="S273" s="5" t="str">
        <f t="shared" si="428"/>
        <v>х</v>
      </c>
      <c r="T273" s="5" t="str">
        <f t="shared" si="428"/>
        <v>х</v>
      </c>
      <c r="U273" s="5" t="str">
        <f t="shared" si="428"/>
        <v>х</v>
      </c>
      <c r="V273" s="5" t="str">
        <f t="shared" si="445"/>
        <v>нет</v>
      </c>
      <c r="W273" s="5" t="str">
        <f t="shared" si="429"/>
        <v>х</v>
      </c>
      <c r="X273" s="5" t="str">
        <f t="shared" si="429"/>
        <v>х</v>
      </c>
      <c r="Y273" s="9" t="str">
        <f t="shared" si="429"/>
        <v>х</v>
      </c>
      <c r="Z273" s="5" t="str">
        <f>"1970"</f>
        <v>1970</v>
      </c>
      <c r="AA273" s="5" t="str">
        <f>"39,00"</f>
        <v>39,00</v>
      </c>
      <c r="AB273" s="5" t="str">
        <f>"2023"</f>
        <v>2023</v>
      </c>
      <c r="AC273" s="5" t="str">
        <f t="shared" si="402"/>
        <v>нет</v>
      </c>
      <c r="AD273" s="5" t="str">
        <f>""</f>
        <v/>
      </c>
      <c r="AE273" s="5" t="str">
        <f>""</f>
        <v/>
      </c>
      <c r="AF273" s="5" t="str">
        <f>""</f>
        <v/>
      </c>
      <c r="AG273" s="5" t="str">
        <f t="shared" si="403"/>
        <v>нет</v>
      </c>
      <c r="AH273" s="5" t="str">
        <f>""</f>
        <v/>
      </c>
      <c r="AI273" s="5" t="str">
        <f>""</f>
        <v/>
      </c>
      <c r="AJ273" s="5" t="str">
        <f>""</f>
        <v/>
      </c>
      <c r="AK273" s="8" t="str">
        <f>"1970"</f>
        <v>1970</v>
      </c>
      <c r="AL273" s="5" t="str">
        <f>"37,00"</f>
        <v>37,00</v>
      </c>
      <c r="AM273" s="5" t="str">
        <f>"2024"</f>
        <v>2024</v>
      </c>
      <c r="AN273" s="5" t="str">
        <f t="shared" si="454"/>
        <v>нет</v>
      </c>
      <c r="AO273" s="5" t="str">
        <f t="shared" si="430"/>
        <v>х</v>
      </c>
      <c r="AP273" s="5" t="str">
        <f t="shared" si="430"/>
        <v>х</v>
      </c>
      <c r="AQ273" s="5" t="str">
        <f t="shared" si="430"/>
        <v>х</v>
      </c>
      <c r="AR273" s="5" t="str">
        <f t="shared" si="455"/>
        <v>нет</v>
      </c>
      <c r="AS273" s="5" t="str">
        <f t="shared" si="436"/>
        <v>х</v>
      </c>
      <c r="AT273" s="5" t="str">
        <f t="shared" si="436"/>
        <v>х</v>
      </c>
      <c r="AU273" s="5" t="str">
        <f t="shared" si="436"/>
        <v>х</v>
      </c>
      <c r="AV273" s="5" t="str">
        <f>"1970"</f>
        <v>1970</v>
      </c>
      <c r="AW273" s="5" t="str">
        <f>"39,00"</f>
        <v>39,00</v>
      </c>
      <c r="AX273" s="5" t="str">
        <f>"2024"</f>
        <v>2024</v>
      </c>
      <c r="AY273" s="5" t="str">
        <f t="shared" si="456"/>
        <v>нет</v>
      </c>
      <c r="AZ273" s="5" t="str">
        <f t="shared" si="437"/>
        <v>х</v>
      </c>
      <c r="BA273" s="5" t="str">
        <f t="shared" si="437"/>
        <v>х</v>
      </c>
      <c r="BB273" s="5" t="str">
        <f t="shared" si="437"/>
        <v>х</v>
      </c>
      <c r="BC273" s="5" t="str">
        <f t="shared" si="457"/>
        <v>нет</v>
      </c>
      <c r="BD273" s="5" t="str">
        <f t="shared" si="438"/>
        <v>х</v>
      </c>
      <c r="BE273" s="5" t="str">
        <f t="shared" si="438"/>
        <v>х</v>
      </c>
      <c r="BF273" s="5" t="str">
        <f t="shared" si="438"/>
        <v>х</v>
      </c>
      <c r="BG273" s="5" t="str">
        <f>"1970"</f>
        <v>1970</v>
      </c>
      <c r="BH273" s="5" t="str">
        <f>"40,00"</f>
        <v>40,00</v>
      </c>
      <c r="BI273" s="5" t="str">
        <f>"2023"</f>
        <v>2023</v>
      </c>
      <c r="BJ273" s="5" t="str">
        <f t="shared" si="450"/>
        <v>нет</v>
      </c>
      <c r="BK273" s="5" t="str">
        <f t="shared" si="432"/>
        <v>х</v>
      </c>
      <c r="BL273" s="5" t="str">
        <f t="shared" si="432"/>
        <v>х</v>
      </c>
      <c r="BM273" s="5" t="str">
        <f t="shared" si="432"/>
        <v>х</v>
      </c>
      <c r="BN273" s="5" t="str">
        <f t="shared" si="451"/>
        <v>нет</v>
      </c>
      <c r="BO273" s="5" t="str">
        <f t="shared" si="433"/>
        <v>х</v>
      </c>
      <c r="BP273" s="5" t="str">
        <f t="shared" si="433"/>
        <v>х</v>
      </c>
      <c r="BQ273" s="5" t="str">
        <f t="shared" si="433"/>
        <v>х</v>
      </c>
      <c r="BR273" s="5" t="str">
        <f>"1970"</f>
        <v>1970</v>
      </c>
      <c r="BS273" s="5" t="str">
        <f>"42,00"</f>
        <v>42,00</v>
      </c>
      <c r="BT273" s="5" t="str">
        <f>"2022"</f>
        <v>2022</v>
      </c>
      <c r="BU273" s="5" t="str">
        <f t="shared" si="453"/>
        <v>нет</v>
      </c>
      <c r="BV273" s="5" t="str">
        <f t="shared" si="427"/>
        <v>x</v>
      </c>
      <c r="BW273" s="5" t="str">
        <f t="shared" si="427"/>
        <v>x</v>
      </c>
      <c r="BX273" s="5" t="str">
        <f t="shared" si="427"/>
        <v>x</v>
      </c>
      <c r="BY273" s="5" t="str">
        <f t="shared" si="452"/>
        <v>нет</v>
      </c>
      <c r="BZ273" s="5" t="str">
        <f>"1970"</f>
        <v>1970</v>
      </c>
      <c r="CA273" s="5" t="str">
        <f>"41,00"</f>
        <v>41,00</v>
      </c>
      <c r="CB273" s="5" t="str">
        <f>"2022"</f>
        <v>2022</v>
      </c>
      <c r="CC273" s="5" t="str">
        <f>"1970"</f>
        <v>1970</v>
      </c>
      <c r="CD273" s="5" t="str">
        <f>"41,00"</f>
        <v>41,00</v>
      </c>
      <c r="CE273" s="5" t="str">
        <f>"2023"</f>
        <v>2023</v>
      </c>
      <c r="CF273" s="5" t="str">
        <f>"1970"</f>
        <v>1970</v>
      </c>
      <c r="CG273" s="5" t="str">
        <f>"42,00"</f>
        <v>42,00</v>
      </c>
      <c r="CH273" s="5" t="str">
        <f>"2024"</f>
        <v>2024</v>
      </c>
      <c r="CI273" s="5" t="str">
        <f>"42,00"</f>
        <v>42,00</v>
      </c>
      <c r="CJ273" s="5" t="str">
        <f>"2025"</f>
        <v>2025</v>
      </c>
    </row>
    <row r="274" spans="1:88" ht="11.25" customHeight="1">
      <c r="A274" s="3" t="str">
        <f>"1.261"</f>
        <v>1.261</v>
      </c>
      <c r="B274" s="4" t="str">
        <f>"г. Грязовец, ул. Румянцевой, д.6"</f>
        <v>г. Грязовец, ул. Румянцевой, д.6</v>
      </c>
      <c r="C274" s="7" t="str">
        <f>"1976"</f>
        <v>1976</v>
      </c>
      <c r="D274" s="5" t="str">
        <f>"1976"</f>
        <v>1976</v>
      </c>
      <c r="E274" s="5" t="str">
        <f>"18,00"</f>
        <v>18,00</v>
      </c>
      <c r="F274" s="5" t="str">
        <f>"2031"</f>
        <v>2031</v>
      </c>
      <c r="G274" s="5" t="str">
        <f t="shared" si="434"/>
        <v>нет</v>
      </c>
      <c r="H274" s="5" t="str">
        <f>""</f>
        <v/>
      </c>
      <c r="I274" s="5" t="str">
        <f>""</f>
        <v/>
      </c>
      <c r="J274" s="5" t="str">
        <f>""</f>
        <v/>
      </c>
      <c r="K274" s="5" t="str">
        <f t="shared" si="435"/>
        <v>нет</v>
      </c>
      <c r="L274" s="5" t="str">
        <f>""</f>
        <v/>
      </c>
      <c r="M274" s="5" t="str">
        <f>""</f>
        <v/>
      </c>
      <c r="N274" s="5" t="str">
        <f>""</f>
        <v/>
      </c>
      <c r="O274" s="8" t="str">
        <f>"1976"</f>
        <v>1976</v>
      </c>
      <c r="P274" s="5" t="str">
        <f>"19,00"</f>
        <v>19,00</v>
      </c>
      <c r="Q274" s="5" t="str">
        <f>"2031"</f>
        <v>2031</v>
      </c>
      <c r="R274" s="5" t="str">
        <f t="shared" si="444"/>
        <v>нет</v>
      </c>
      <c r="S274" s="5" t="str">
        <f t="shared" si="428"/>
        <v>х</v>
      </c>
      <c r="T274" s="5" t="str">
        <f t="shared" si="428"/>
        <v>х</v>
      </c>
      <c r="U274" s="5" t="str">
        <f t="shared" si="428"/>
        <v>х</v>
      </c>
      <c r="V274" s="5" t="str">
        <f t="shared" si="445"/>
        <v>нет</v>
      </c>
      <c r="W274" s="5" t="str">
        <f t="shared" si="429"/>
        <v>х</v>
      </c>
      <c r="X274" s="5" t="str">
        <f t="shared" si="429"/>
        <v>х</v>
      </c>
      <c r="Y274" s="9" t="str">
        <f t="shared" si="429"/>
        <v>х</v>
      </c>
      <c r="Z274" s="5" t="str">
        <f>"1976"</f>
        <v>1976</v>
      </c>
      <c r="AA274" s="5" t="str">
        <f>"19,00"</f>
        <v>19,00</v>
      </c>
      <c r="AB274" s="5" t="str">
        <f>"2031"</f>
        <v>2031</v>
      </c>
      <c r="AC274" s="5" t="str">
        <f t="shared" si="402"/>
        <v>нет</v>
      </c>
      <c r="AD274" s="5" t="str">
        <f>""</f>
        <v/>
      </c>
      <c r="AE274" s="5" t="str">
        <f>""</f>
        <v/>
      </c>
      <c r="AF274" s="5" t="str">
        <f>""</f>
        <v/>
      </c>
      <c r="AG274" s="5" t="str">
        <f t="shared" si="403"/>
        <v>нет</v>
      </c>
      <c r="AH274" s="5" t="str">
        <f>""</f>
        <v/>
      </c>
      <c r="AI274" s="5" t="str">
        <f>""</f>
        <v/>
      </c>
      <c r="AJ274" s="5" t="str">
        <f>""</f>
        <v/>
      </c>
      <c r="AK274" s="8" t="str">
        <f>"1976"</f>
        <v>1976</v>
      </c>
      <c r="AL274" s="5" t="str">
        <f>"18,00"</f>
        <v>18,00</v>
      </c>
      <c r="AM274" s="5" t="str">
        <f>"2030"</f>
        <v>2030</v>
      </c>
      <c r="AN274" s="5" t="str">
        <f t="shared" si="454"/>
        <v>нет</v>
      </c>
      <c r="AO274" s="5" t="str">
        <f t="shared" si="430"/>
        <v>х</v>
      </c>
      <c r="AP274" s="5" t="str">
        <f t="shared" si="430"/>
        <v>х</v>
      </c>
      <c r="AQ274" s="5" t="str">
        <f t="shared" si="430"/>
        <v>х</v>
      </c>
      <c r="AR274" s="5" t="str">
        <f t="shared" si="455"/>
        <v>нет</v>
      </c>
      <c r="AS274" s="5" t="str">
        <f t="shared" si="436"/>
        <v>х</v>
      </c>
      <c r="AT274" s="5" t="str">
        <f t="shared" si="436"/>
        <v>х</v>
      </c>
      <c r="AU274" s="5" t="str">
        <f t="shared" si="436"/>
        <v>х</v>
      </c>
      <c r="AV274" s="5" t="str">
        <f>"1976"</f>
        <v>1976</v>
      </c>
      <c r="AW274" s="5" t="str">
        <f>"19,00"</f>
        <v>19,00</v>
      </c>
      <c r="AX274" s="5" t="str">
        <f>"2031"</f>
        <v>2031</v>
      </c>
      <c r="AY274" s="5" t="str">
        <f t="shared" si="456"/>
        <v>нет</v>
      </c>
      <c r="AZ274" s="5" t="str">
        <f t="shared" si="437"/>
        <v>х</v>
      </c>
      <c r="BA274" s="5" t="str">
        <f t="shared" si="437"/>
        <v>х</v>
      </c>
      <c r="BB274" s="5" t="str">
        <f t="shared" si="437"/>
        <v>х</v>
      </c>
      <c r="BC274" s="5" t="str">
        <f t="shared" si="457"/>
        <v>нет</v>
      </c>
      <c r="BD274" s="5" t="str">
        <f t="shared" si="438"/>
        <v>х</v>
      </c>
      <c r="BE274" s="5" t="str">
        <f t="shared" si="438"/>
        <v>х</v>
      </c>
      <c r="BF274" s="5" t="str">
        <f t="shared" si="438"/>
        <v>х</v>
      </c>
      <c r="BG274" s="5" t="str">
        <f>"1976"</f>
        <v>1976</v>
      </c>
      <c r="BH274" s="5" t="str">
        <f>"20,00"</f>
        <v>20,00</v>
      </c>
      <c r="BI274" s="5" t="str">
        <f>"2030"</f>
        <v>2030</v>
      </c>
      <c r="BJ274" s="5" t="str">
        <f t="shared" si="450"/>
        <v>нет</v>
      </c>
      <c r="BK274" s="5" t="str">
        <f t="shared" si="432"/>
        <v>х</v>
      </c>
      <c r="BL274" s="5" t="str">
        <f t="shared" si="432"/>
        <v>х</v>
      </c>
      <c r="BM274" s="5" t="str">
        <f t="shared" si="432"/>
        <v>х</v>
      </c>
      <c r="BN274" s="5" t="str">
        <f t="shared" si="451"/>
        <v>нет</v>
      </c>
      <c r="BO274" s="5" t="str">
        <f t="shared" si="433"/>
        <v>х</v>
      </c>
      <c r="BP274" s="5" t="str">
        <f t="shared" si="433"/>
        <v>х</v>
      </c>
      <c r="BQ274" s="5" t="str">
        <f t="shared" si="433"/>
        <v>х</v>
      </c>
      <c r="BR274" s="5" t="str">
        <f>"1976"</f>
        <v>1976</v>
      </c>
      <c r="BS274" s="5" t="str">
        <f>"21,00"</f>
        <v>21,00</v>
      </c>
      <c r="BT274" s="5" t="str">
        <f>"2031"</f>
        <v>2031</v>
      </c>
      <c r="BU274" s="5" t="str">
        <f t="shared" si="453"/>
        <v>нет</v>
      </c>
      <c r="BV274" s="5" t="str">
        <f t="shared" ref="BV274:BX298" si="458">"x"</f>
        <v>x</v>
      </c>
      <c r="BW274" s="5" t="str">
        <f t="shared" si="458"/>
        <v>x</v>
      </c>
      <c r="BX274" s="5" t="str">
        <f t="shared" si="458"/>
        <v>x</v>
      </c>
      <c r="BY274" s="5" t="str">
        <f t="shared" si="452"/>
        <v>нет</v>
      </c>
      <c r="BZ274" s="5" t="str">
        <f>"1976"</f>
        <v>1976</v>
      </c>
      <c r="CA274" s="5" t="str">
        <f>"20,00"</f>
        <v>20,00</v>
      </c>
      <c r="CB274" s="5" t="str">
        <f>"2031"</f>
        <v>2031</v>
      </c>
      <c r="CC274" s="5" t="str">
        <f>"1976"</f>
        <v>1976</v>
      </c>
      <c r="CD274" s="5" t="str">
        <f>"20,00"</f>
        <v>20,00</v>
      </c>
      <c r="CE274" s="5" t="str">
        <f>"2030"</f>
        <v>2030</v>
      </c>
      <c r="CF274" s="5" t="str">
        <f>"1976"</f>
        <v>1976</v>
      </c>
      <c r="CG274" s="5" t="str">
        <f>"21,00"</f>
        <v>21,00</v>
      </c>
      <c r="CH274" s="5" t="str">
        <f>"2030"</f>
        <v>2030</v>
      </c>
      <c r="CI274" s="5" t="str">
        <f>"21,00"</f>
        <v>21,00</v>
      </c>
      <c r="CJ274" s="5" t="str">
        <f>"2032"</f>
        <v>2032</v>
      </c>
    </row>
    <row r="275" spans="1:88" ht="11.25" customHeight="1">
      <c r="A275" s="3" t="str">
        <f>"1.262"</f>
        <v>1.262</v>
      </c>
      <c r="B275" s="4" t="str">
        <f>"г. Грязовец, ул. Советская, д.119"</f>
        <v>г. Грязовец, ул. Советская, д.119</v>
      </c>
      <c r="C275" s="7" t="str">
        <f>"1977"</f>
        <v>1977</v>
      </c>
      <c r="D275" s="5" t="str">
        <f>"1977"</f>
        <v>1977</v>
      </c>
      <c r="E275" s="5" t="str">
        <f>"16,00"</f>
        <v>16,00</v>
      </c>
      <c r="F275" s="5" t="str">
        <f>"2033"</f>
        <v>2033</v>
      </c>
      <c r="G275" s="5" t="str">
        <f t="shared" si="434"/>
        <v>нет</v>
      </c>
      <c r="H275" s="5" t="str">
        <f>""</f>
        <v/>
      </c>
      <c r="I275" s="5" t="str">
        <f>""</f>
        <v/>
      </c>
      <c r="J275" s="5" t="str">
        <f>""</f>
        <v/>
      </c>
      <c r="K275" s="5" t="str">
        <f t="shared" si="435"/>
        <v>нет</v>
      </c>
      <c r="L275" s="5" t="str">
        <f>""</f>
        <v/>
      </c>
      <c r="M275" s="5" t="str">
        <f>""</f>
        <v/>
      </c>
      <c r="N275" s="5" t="str">
        <f>""</f>
        <v/>
      </c>
      <c r="O275" s="8" t="str">
        <f>"1977"</f>
        <v>1977</v>
      </c>
      <c r="P275" s="5" t="str">
        <f>"17,00"</f>
        <v>17,00</v>
      </c>
      <c r="Q275" s="5" t="str">
        <f>"2031"</f>
        <v>2031</v>
      </c>
      <c r="R275" s="5" t="str">
        <f t="shared" si="444"/>
        <v>нет</v>
      </c>
      <c r="S275" s="5" t="str">
        <f>""</f>
        <v/>
      </c>
      <c r="T275" s="5" t="str">
        <f>""</f>
        <v/>
      </c>
      <c r="U275" s="5" t="str">
        <f>""</f>
        <v/>
      </c>
      <c r="V275" s="5" t="str">
        <f t="shared" si="445"/>
        <v>нет</v>
      </c>
      <c r="W275" s="5" t="str">
        <f>""</f>
        <v/>
      </c>
      <c r="X275" s="5" t="str">
        <f>""</f>
        <v/>
      </c>
      <c r="Y275" s="9" t="str">
        <f>""</f>
        <v/>
      </c>
      <c r="Z275" s="5" t="str">
        <f>"1977"</f>
        <v>1977</v>
      </c>
      <c r="AA275" s="5" t="str">
        <f>"17,00"</f>
        <v>17,00</v>
      </c>
      <c r="AB275" s="5" t="str">
        <f>"2032"</f>
        <v>2032</v>
      </c>
      <c r="AC275" s="5" t="str">
        <f t="shared" si="402"/>
        <v>нет</v>
      </c>
      <c r="AD275" s="5" t="str">
        <f>"х"</f>
        <v>х</v>
      </c>
      <c r="AE275" s="5" t="str">
        <f>"х"</f>
        <v>х</v>
      </c>
      <c r="AF275" s="5" t="str">
        <f>"х"</f>
        <v>х</v>
      </c>
      <c r="AG275" s="5" t="str">
        <f t="shared" si="403"/>
        <v>нет</v>
      </c>
      <c r="AH275" s="5" t="str">
        <f>"х"</f>
        <v>х</v>
      </c>
      <c r="AI275" s="5" t="str">
        <f>"х"</f>
        <v>х</v>
      </c>
      <c r="AJ275" s="5" t="str">
        <f>"х"</f>
        <v>х</v>
      </c>
      <c r="AK275" s="8" t="str">
        <f>"1977"</f>
        <v>1977</v>
      </c>
      <c r="AL275" s="5" t="str">
        <f>"17,00"</f>
        <v>17,00</v>
      </c>
      <c r="AM275" s="5" t="str">
        <f>"2031"</f>
        <v>2031</v>
      </c>
      <c r="AN275" s="5" t="str">
        <f t="shared" si="454"/>
        <v>нет</v>
      </c>
      <c r="AO275" s="5" t="str">
        <f t="shared" si="430"/>
        <v>х</v>
      </c>
      <c r="AP275" s="5" t="str">
        <f t="shared" si="430"/>
        <v>х</v>
      </c>
      <c r="AQ275" s="5" t="str">
        <f t="shared" si="430"/>
        <v>х</v>
      </c>
      <c r="AR275" s="5" t="str">
        <f t="shared" si="455"/>
        <v>нет</v>
      </c>
      <c r="AS275" s="5" t="str">
        <f t="shared" si="436"/>
        <v>х</v>
      </c>
      <c r="AT275" s="5" t="str">
        <f t="shared" si="436"/>
        <v>х</v>
      </c>
      <c r="AU275" s="5" t="str">
        <f t="shared" si="436"/>
        <v>х</v>
      </c>
      <c r="AV275" s="5" t="str">
        <f>"1977"</f>
        <v>1977</v>
      </c>
      <c r="AW275" s="5" t="str">
        <f>"17,00"</f>
        <v>17,00</v>
      </c>
      <c r="AX275" s="5" t="str">
        <f>"2031"</f>
        <v>2031</v>
      </c>
      <c r="AY275" s="5" t="str">
        <f t="shared" si="456"/>
        <v>нет</v>
      </c>
      <c r="AZ275" s="5" t="str">
        <f t="shared" si="437"/>
        <v>х</v>
      </c>
      <c r="BA275" s="5" t="str">
        <f t="shared" si="437"/>
        <v>х</v>
      </c>
      <c r="BB275" s="5" t="str">
        <f t="shared" si="437"/>
        <v>х</v>
      </c>
      <c r="BC275" s="5" t="str">
        <f t="shared" si="457"/>
        <v>нет</v>
      </c>
      <c r="BD275" s="5" t="str">
        <f t="shared" si="438"/>
        <v>х</v>
      </c>
      <c r="BE275" s="5" t="str">
        <f t="shared" si="438"/>
        <v>х</v>
      </c>
      <c r="BF275" s="5" t="str">
        <f t="shared" si="438"/>
        <v>х</v>
      </c>
      <c r="BG275" s="5" t="str">
        <f>"1977"</f>
        <v>1977</v>
      </c>
      <c r="BH275" s="5" t="str">
        <f>"18,00"</f>
        <v>18,00</v>
      </c>
      <c r="BI275" s="5" t="str">
        <f>"2031"</f>
        <v>2031</v>
      </c>
      <c r="BJ275" s="5" t="str">
        <f t="shared" si="450"/>
        <v>нет</v>
      </c>
      <c r="BK275" s="5" t="str">
        <f t="shared" si="432"/>
        <v>х</v>
      </c>
      <c r="BL275" s="5" t="str">
        <f t="shared" si="432"/>
        <v>х</v>
      </c>
      <c r="BM275" s="5" t="str">
        <f t="shared" si="432"/>
        <v>х</v>
      </c>
      <c r="BN275" s="5" t="str">
        <f t="shared" si="451"/>
        <v>нет</v>
      </c>
      <c r="BO275" s="5" t="str">
        <f t="shared" si="433"/>
        <v>х</v>
      </c>
      <c r="BP275" s="5" t="str">
        <f t="shared" si="433"/>
        <v>х</v>
      </c>
      <c r="BQ275" s="5" t="str">
        <f t="shared" si="433"/>
        <v>х</v>
      </c>
      <c r="BR275" s="5" t="str">
        <f>"1977"</f>
        <v>1977</v>
      </c>
      <c r="BS275" s="5" t="str">
        <f>"19,00"</f>
        <v>19,00</v>
      </c>
      <c r="BT275" s="5" t="str">
        <f>"2031"</f>
        <v>2031</v>
      </c>
      <c r="BU275" s="5" t="str">
        <f t="shared" si="453"/>
        <v>нет</v>
      </c>
      <c r="BV275" s="5" t="str">
        <f t="shared" si="458"/>
        <v>x</v>
      </c>
      <c r="BW275" s="5" t="str">
        <f t="shared" si="458"/>
        <v>x</v>
      </c>
      <c r="BX275" s="5" t="str">
        <f t="shared" si="458"/>
        <v>x</v>
      </c>
      <c r="BY275" s="5" t="str">
        <f t="shared" si="452"/>
        <v>нет</v>
      </c>
      <c r="BZ275" s="5" t="str">
        <f>"1977"</f>
        <v>1977</v>
      </c>
      <c r="CA275" s="5" t="str">
        <f>"18,00"</f>
        <v>18,00</v>
      </c>
      <c r="CB275" s="5" t="str">
        <f>"2032"</f>
        <v>2032</v>
      </c>
      <c r="CC275" s="5" t="str">
        <f>"1977"</f>
        <v>1977</v>
      </c>
      <c r="CD275" s="5" t="str">
        <f>"18,00"</f>
        <v>18,00</v>
      </c>
      <c r="CE275" s="5" t="str">
        <f>"2031"</f>
        <v>2031</v>
      </c>
      <c r="CF275" s="5" t="str">
        <f>"1977"</f>
        <v>1977</v>
      </c>
      <c r="CG275" s="5" t="str">
        <f>"19,00"</f>
        <v>19,00</v>
      </c>
      <c r="CH275" s="5" t="str">
        <f>"2031"</f>
        <v>2031</v>
      </c>
      <c r="CI275" s="5" t="str">
        <f>"19,00"</f>
        <v>19,00</v>
      </c>
      <c r="CJ275" s="5" t="str">
        <f>"2038"</f>
        <v>2038</v>
      </c>
    </row>
    <row r="276" spans="1:88" ht="11.25" customHeight="1">
      <c r="A276" s="3" t="str">
        <f>"1.263"</f>
        <v>1.263</v>
      </c>
      <c r="B276" s="4" t="str">
        <f>"г. Грязовец, ул. Советская, д.120"</f>
        <v>г. Грязовец, ул. Советская, д.120</v>
      </c>
      <c r="C276" s="7" t="str">
        <f>"1980"</f>
        <v>1980</v>
      </c>
      <c r="D276" s="5" t="str">
        <f>"1980"</f>
        <v>1980</v>
      </c>
      <c r="E276" s="5" t="str">
        <f>"22,00"</f>
        <v>22,00</v>
      </c>
      <c r="F276" s="5" t="str">
        <f>"2033"</f>
        <v>2033</v>
      </c>
      <c r="G276" s="5" t="str">
        <f t="shared" si="434"/>
        <v>нет</v>
      </c>
      <c r="H276" s="5" t="str">
        <f>""</f>
        <v/>
      </c>
      <c r="I276" s="5" t="str">
        <f>""</f>
        <v/>
      </c>
      <c r="J276" s="5" t="str">
        <f>""</f>
        <v/>
      </c>
      <c r="K276" s="5" t="str">
        <f t="shared" si="435"/>
        <v>нет</v>
      </c>
      <c r="L276" s="5" t="str">
        <f>""</f>
        <v/>
      </c>
      <c r="M276" s="5" t="str">
        <f>""</f>
        <v/>
      </c>
      <c r="N276" s="5" t="str">
        <f>""</f>
        <v/>
      </c>
      <c r="O276" s="8" t="str">
        <f>"1980"</f>
        <v>1980</v>
      </c>
      <c r="P276" s="5" t="str">
        <f>"23,00"</f>
        <v>23,00</v>
      </c>
      <c r="Q276" s="5" t="str">
        <f>"2031"</f>
        <v>2031</v>
      </c>
      <c r="R276" s="5" t="str">
        <f t="shared" si="444"/>
        <v>нет</v>
      </c>
      <c r="S276" s="5" t="str">
        <f>""</f>
        <v/>
      </c>
      <c r="T276" s="5" t="str">
        <f>""</f>
        <v/>
      </c>
      <c r="U276" s="5" t="str">
        <f>""</f>
        <v/>
      </c>
      <c r="V276" s="5" t="str">
        <f t="shared" si="445"/>
        <v>нет</v>
      </c>
      <c r="W276" s="5" t="str">
        <f>""</f>
        <v/>
      </c>
      <c r="X276" s="5" t="str">
        <f>""</f>
        <v/>
      </c>
      <c r="Y276" s="9" t="str">
        <f>""</f>
        <v/>
      </c>
      <c r="Z276" s="5" t="str">
        <f>"1980"</f>
        <v>1980</v>
      </c>
      <c r="AA276" s="5" t="str">
        <f>"25,00"</f>
        <v>25,00</v>
      </c>
      <c r="AB276" s="5" t="str">
        <f>"2031"</f>
        <v>2031</v>
      </c>
      <c r="AC276" s="5" t="str">
        <f t="shared" si="402"/>
        <v>нет</v>
      </c>
      <c r="AD276" s="5" t="str">
        <f>""</f>
        <v/>
      </c>
      <c r="AE276" s="5" t="str">
        <f>""</f>
        <v/>
      </c>
      <c r="AF276" s="5" t="str">
        <f>""</f>
        <v/>
      </c>
      <c r="AG276" s="5" t="str">
        <f t="shared" si="403"/>
        <v>нет</v>
      </c>
      <c r="AH276" s="5" t="str">
        <f>""</f>
        <v/>
      </c>
      <c r="AI276" s="5" t="str">
        <f>""</f>
        <v/>
      </c>
      <c r="AJ276" s="5" t="str">
        <f>""</f>
        <v/>
      </c>
      <c r="AK276" s="8" t="str">
        <f>"1980"</f>
        <v>1980</v>
      </c>
      <c r="AL276" s="5" t="str">
        <f>"24,00"</f>
        <v>24,00</v>
      </c>
      <c r="AM276" s="5" t="str">
        <f>"2032"</f>
        <v>2032</v>
      </c>
      <c r="AN276" s="5" t="str">
        <f t="shared" si="454"/>
        <v>нет</v>
      </c>
      <c r="AO276" s="5" t="str">
        <f>""</f>
        <v/>
      </c>
      <c r="AP276" s="5" t="str">
        <f>""</f>
        <v/>
      </c>
      <c r="AQ276" s="5" t="str">
        <f>""</f>
        <v/>
      </c>
      <c r="AR276" s="5" t="str">
        <f t="shared" si="455"/>
        <v>нет</v>
      </c>
      <c r="AS276" s="5" t="str">
        <f>""</f>
        <v/>
      </c>
      <c r="AT276" s="5" t="str">
        <f>""</f>
        <v/>
      </c>
      <c r="AU276" s="5" t="str">
        <f>""</f>
        <v/>
      </c>
      <c r="AV276" s="5" t="str">
        <f>"1980"</f>
        <v>1980</v>
      </c>
      <c r="AW276" s="5" t="str">
        <f>"24,00"</f>
        <v>24,00</v>
      </c>
      <c r="AX276" s="5" t="str">
        <f>"2031"</f>
        <v>2031</v>
      </c>
      <c r="AY276" s="5" t="str">
        <f t="shared" si="456"/>
        <v>нет</v>
      </c>
      <c r="AZ276" s="5" t="str">
        <f t="shared" si="437"/>
        <v>х</v>
      </c>
      <c r="BA276" s="5" t="str">
        <f t="shared" si="437"/>
        <v>х</v>
      </c>
      <c r="BB276" s="5" t="str">
        <f t="shared" si="437"/>
        <v>х</v>
      </c>
      <c r="BC276" s="5" t="str">
        <f t="shared" si="457"/>
        <v>нет</v>
      </c>
      <c r="BD276" s="5" t="str">
        <f t="shared" si="438"/>
        <v>х</v>
      </c>
      <c r="BE276" s="5" t="str">
        <f t="shared" si="438"/>
        <v>х</v>
      </c>
      <c r="BF276" s="5" t="str">
        <f t="shared" si="438"/>
        <v>х</v>
      </c>
      <c r="BG276" s="5" t="str">
        <f>"1980"</f>
        <v>1980</v>
      </c>
      <c r="BH276" s="5" t="str">
        <f>"25,00"</f>
        <v>25,00</v>
      </c>
      <c r="BI276" s="5" t="str">
        <f>"2032"</f>
        <v>2032</v>
      </c>
      <c r="BJ276" s="5" t="str">
        <f t="shared" si="450"/>
        <v>нет</v>
      </c>
      <c r="BK276" s="5" t="str">
        <f>""</f>
        <v/>
      </c>
      <c r="BL276" s="5" t="str">
        <f>""</f>
        <v/>
      </c>
      <c r="BM276" s="5" t="str">
        <f>""</f>
        <v/>
      </c>
      <c r="BN276" s="5" t="str">
        <f t="shared" si="451"/>
        <v>нет</v>
      </c>
      <c r="BO276" s="5" t="str">
        <f>""</f>
        <v/>
      </c>
      <c r="BP276" s="5" t="str">
        <f>""</f>
        <v/>
      </c>
      <c r="BQ276" s="5" t="str">
        <f>""</f>
        <v/>
      </c>
      <c r="BR276" s="5" t="str">
        <f>"1980"</f>
        <v>1980</v>
      </c>
      <c r="BS276" s="5" t="str">
        <f>"25,00"</f>
        <v>25,00</v>
      </c>
      <c r="BT276" s="5" t="str">
        <f>"2030"</f>
        <v>2030</v>
      </c>
      <c r="BU276" s="5" t="str">
        <f t="shared" si="453"/>
        <v>нет</v>
      </c>
      <c r="BV276" s="5" t="str">
        <f t="shared" si="458"/>
        <v>x</v>
      </c>
      <c r="BW276" s="5" t="str">
        <f t="shared" si="458"/>
        <v>x</v>
      </c>
      <c r="BX276" s="5" t="str">
        <f t="shared" si="458"/>
        <v>x</v>
      </c>
      <c r="BY276" s="5" t="str">
        <f t="shared" si="452"/>
        <v>нет</v>
      </c>
      <c r="BZ276" s="5" t="str">
        <f>"1980"</f>
        <v>1980</v>
      </c>
      <c r="CA276" s="5" t="str">
        <f>"23,00"</f>
        <v>23,00</v>
      </c>
      <c r="CB276" s="5" t="str">
        <f>"2030"</f>
        <v>2030</v>
      </c>
      <c r="CC276" s="5" t="str">
        <f>"1980"</f>
        <v>1980</v>
      </c>
      <c r="CD276" s="5" t="str">
        <f>"25,00"</f>
        <v>25,00</v>
      </c>
      <c r="CE276" s="5" t="str">
        <f>"2032"</f>
        <v>2032</v>
      </c>
      <c r="CF276" s="5" t="str">
        <f>"1980"</f>
        <v>1980</v>
      </c>
      <c r="CG276" s="5" t="str">
        <f>"26,00"</f>
        <v>26,00</v>
      </c>
      <c r="CH276" s="5" t="str">
        <f>"2030"</f>
        <v>2030</v>
      </c>
      <c r="CI276" s="5" t="str">
        <f>"26,00"</f>
        <v>26,00</v>
      </c>
      <c r="CJ276" s="5" t="str">
        <f>"2035"</f>
        <v>2035</v>
      </c>
    </row>
    <row r="277" spans="1:88" ht="11.25" customHeight="1">
      <c r="A277" s="3" t="str">
        <f>"1.264"</f>
        <v>1.264</v>
      </c>
      <c r="B277" s="4" t="str">
        <f>"г. Грязовец, ул. Советская, д.121"</f>
        <v>г. Грязовец, ул. Советская, д.121</v>
      </c>
      <c r="C277" s="7" t="str">
        <f>"1993"</f>
        <v>1993</v>
      </c>
      <c r="D277" s="5" t="str">
        <f>"1993"</f>
        <v>1993</v>
      </c>
      <c r="E277" s="5" t="str">
        <f>"13,00"</f>
        <v>13,00</v>
      </c>
      <c r="F277" s="5" t="str">
        <f>"2030"</f>
        <v>2030</v>
      </c>
      <c r="G277" s="5" t="str">
        <f t="shared" si="434"/>
        <v>нет</v>
      </c>
      <c r="H277" s="5" t="str">
        <f>""</f>
        <v/>
      </c>
      <c r="I277" s="5" t="str">
        <f>""</f>
        <v/>
      </c>
      <c r="J277" s="5" t="str">
        <f>""</f>
        <v/>
      </c>
      <c r="K277" s="5" t="str">
        <f t="shared" si="435"/>
        <v>нет</v>
      </c>
      <c r="L277" s="5" t="str">
        <f>""</f>
        <v/>
      </c>
      <c r="M277" s="5" t="str">
        <f>""</f>
        <v/>
      </c>
      <c r="N277" s="5" t="str">
        <f>""</f>
        <v/>
      </c>
      <c r="O277" s="8" t="str">
        <f>"1993"</f>
        <v>1993</v>
      </c>
      <c r="P277" s="5" t="str">
        <f>"14,00"</f>
        <v>14,00</v>
      </c>
      <c r="Q277" s="5" t="str">
        <f>"2030"</f>
        <v>2030</v>
      </c>
      <c r="R277" s="5" t="str">
        <f t="shared" si="444"/>
        <v>нет</v>
      </c>
      <c r="S277" s="5" t="str">
        <f t="shared" ref="S277:U282" si="459">"х"</f>
        <v>х</v>
      </c>
      <c r="T277" s="5" t="str">
        <f t="shared" si="459"/>
        <v>х</v>
      </c>
      <c r="U277" s="5" t="str">
        <f t="shared" si="459"/>
        <v>х</v>
      </c>
      <c r="V277" s="5" t="str">
        <f t="shared" si="445"/>
        <v>нет</v>
      </c>
      <c r="W277" s="5" t="str">
        <f t="shared" ref="W277:Y282" si="460">"х"</f>
        <v>х</v>
      </c>
      <c r="X277" s="5" t="str">
        <f t="shared" si="460"/>
        <v>х</v>
      </c>
      <c r="Y277" s="9" t="str">
        <f t="shared" si="460"/>
        <v>х</v>
      </c>
      <c r="Z277" s="5" t="str">
        <f>"1993"</f>
        <v>1993</v>
      </c>
      <c r="AA277" s="5" t="str">
        <f>"14,00"</f>
        <v>14,00</v>
      </c>
      <c r="AB277" s="5" t="str">
        <f>"2030"</f>
        <v>2030</v>
      </c>
      <c r="AC277" s="5" t="str">
        <f t="shared" si="402"/>
        <v>нет</v>
      </c>
      <c r="AD277" s="5" t="str">
        <f>""</f>
        <v/>
      </c>
      <c r="AE277" s="5" t="str">
        <f>""</f>
        <v/>
      </c>
      <c r="AF277" s="5" t="str">
        <f>""</f>
        <v/>
      </c>
      <c r="AG277" s="5" t="str">
        <f t="shared" si="403"/>
        <v>нет</v>
      </c>
      <c r="AH277" s="5" t="str">
        <f>""</f>
        <v/>
      </c>
      <c r="AI277" s="5" t="str">
        <f>""</f>
        <v/>
      </c>
      <c r="AJ277" s="5" t="str">
        <f>""</f>
        <v/>
      </c>
      <c r="AK277" s="8" t="str">
        <f>"1993"</f>
        <v>1993</v>
      </c>
      <c r="AL277" s="5" t="str">
        <f>"13,00"</f>
        <v>13,00</v>
      </c>
      <c r="AM277" s="5" t="str">
        <f>"2028"</f>
        <v>2028</v>
      </c>
      <c r="AN277" s="5" t="str">
        <f t="shared" si="454"/>
        <v>нет</v>
      </c>
      <c r="AO277" s="5" t="str">
        <f t="shared" ref="AO277:AQ286" si="461">"х"</f>
        <v>х</v>
      </c>
      <c r="AP277" s="5" t="str">
        <f t="shared" si="461"/>
        <v>х</v>
      </c>
      <c r="AQ277" s="5" t="str">
        <f t="shared" si="461"/>
        <v>х</v>
      </c>
      <c r="AR277" s="5" t="str">
        <f t="shared" si="455"/>
        <v>нет</v>
      </c>
      <c r="AS277" s="5" t="str">
        <f t="shared" ref="AS277:AU286" si="462">"х"</f>
        <v>х</v>
      </c>
      <c r="AT277" s="5" t="str">
        <f t="shared" si="462"/>
        <v>х</v>
      </c>
      <c r="AU277" s="5" t="str">
        <f t="shared" si="462"/>
        <v>х</v>
      </c>
      <c r="AV277" s="5" t="str">
        <f>"1993"</f>
        <v>1993</v>
      </c>
      <c r="AW277" s="5" t="str">
        <f>"14,00"</f>
        <v>14,00</v>
      </c>
      <c r="AX277" s="5" t="str">
        <f>"2028"</f>
        <v>2028</v>
      </c>
      <c r="AY277" s="5" t="str">
        <f t="shared" si="456"/>
        <v>нет</v>
      </c>
      <c r="AZ277" s="5" t="str">
        <f t="shared" si="437"/>
        <v>х</v>
      </c>
      <c r="BA277" s="5" t="str">
        <f t="shared" si="437"/>
        <v>х</v>
      </c>
      <c r="BB277" s="5" t="str">
        <f t="shared" si="437"/>
        <v>х</v>
      </c>
      <c r="BC277" s="5" t="str">
        <f t="shared" si="457"/>
        <v>нет</v>
      </c>
      <c r="BD277" s="5" t="str">
        <f t="shared" si="438"/>
        <v>х</v>
      </c>
      <c r="BE277" s="5" t="str">
        <f t="shared" si="438"/>
        <v>х</v>
      </c>
      <c r="BF277" s="5" t="str">
        <f t="shared" si="438"/>
        <v>х</v>
      </c>
      <c r="BG277" s="5" t="str">
        <f>"1993"</f>
        <v>1993</v>
      </c>
      <c r="BH277" s="5" t="str">
        <f>"15,00"</f>
        <v>15,00</v>
      </c>
      <c r="BI277" s="5" t="str">
        <f>"2028"</f>
        <v>2028</v>
      </c>
      <c r="BJ277" s="5" t="str">
        <f t="shared" si="450"/>
        <v>нет</v>
      </c>
      <c r="BK277" s="5" t="str">
        <f t="shared" ref="BK277:BM286" si="463">"х"</f>
        <v>х</v>
      </c>
      <c r="BL277" s="5" t="str">
        <f t="shared" si="463"/>
        <v>х</v>
      </c>
      <c r="BM277" s="5" t="str">
        <f t="shared" si="463"/>
        <v>х</v>
      </c>
      <c r="BN277" s="5" t="str">
        <f t="shared" si="451"/>
        <v>нет</v>
      </c>
      <c r="BO277" s="5" t="str">
        <f t="shared" ref="BO277:BQ286" si="464">"х"</f>
        <v>х</v>
      </c>
      <c r="BP277" s="5" t="str">
        <f t="shared" si="464"/>
        <v>х</v>
      </c>
      <c r="BQ277" s="5" t="str">
        <f t="shared" si="464"/>
        <v>х</v>
      </c>
      <c r="BR277" s="5" t="str">
        <f>"1993"</f>
        <v>1993</v>
      </c>
      <c r="BS277" s="5" t="str">
        <f>"16,00"</f>
        <v>16,00</v>
      </c>
      <c r="BT277" s="5" t="str">
        <f>"2028"</f>
        <v>2028</v>
      </c>
      <c r="BU277" s="5" t="str">
        <f t="shared" si="453"/>
        <v>нет</v>
      </c>
      <c r="BV277" s="5" t="str">
        <f t="shared" si="458"/>
        <v>x</v>
      </c>
      <c r="BW277" s="5" t="str">
        <f t="shared" si="458"/>
        <v>x</v>
      </c>
      <c r="BX277" s="5" t="str">
        <f t="shared" si="458"/>
        <v>x</v>
      </c>
      <c r="BY277" s="5" t="str">
        <f t="shared" si="452"/>
        <v>нет</v>
      </c>
      <c r="BZ277" s="5" t="str">
        <f>"1993"</f>
        <v>1993</v>
      </c>
      <c r="CA277" s="5" t="str">
        <f>"15,00"</f>
        <v>15,00</v>
      </c>
      <c r="CB277" s="5" t="str">
        <f>"2028"</f>
        <v>2028</v>
      </c>
      <c r="CC277" s="5" t="str">
        <f>"1993"</f>
        <v>1993</v>
      </c>
      <c r="CD277" s="5" t="str">
        <f>"15,00"</f>
        <v>15,00</v>
      </c>
      <c r="CE277" s="5" t="str">
        <f>"2028"</f>
        <v>2028</v>
      </c>
      <c r="CF277" s="5" t="str">
        <f>"1993"</f>
        <v>1993</v>
      </c>
      <c r="CG277" s="5" t="str">
        <f>"16,00"</f>
        <v>16,00</v>
      </c>
      <c r="CH277" s="5" t="str">
        <f>"2028"</f>
        <v>2028</v>
      </c>
      <c r="CI277" s="5" t="str">
        <f>"16,00"</f>
        <v>16,00</v>
      </c>
      <c r="CJ277" s="5" t="str">
        <f>"2035"</f>
        <v>2035</v>
      </c>
    </row>
    <row r="278" spans="1:88" ht="11.25" customHeight="1">
      <c r="A278" s="3" t="str">
        <f>"1.265"</f>
        <v>1.265</v>
      </c>
      <c r="B278" s="4" t="str">
        <f>"г. Грязовец, ул. Советская, д.122"</f>
        <v>г. Грязовец, ул. Советская, д.122</v>
      </c>
      <c r="C278" s="7" t="str">
        <f>"2010"</f>
        <v>2010</v>
      </c>
      <c r="D278" s="5" t="str">
        <f>"2010"</f>
        <v>2010</v>
      </c>
      <c r="E278" s="5" t="str">
        <f>"2,00"</f>
        <v>2,00</v>
      </c>
      <c r="F278" s="5" t="str">
        <f>"2040"</f>
        <v>2040</v>
      </c>
      <c r="G278" s="5" t="str">
        <f t="shared" si="434"/>
        <v>нет</v>
      </c>
      <c r="H278" s="5" t="str">
        <f>""</f>
        <v/>
      </c>
      <c r="I278" s="5" t="str">
        <f>""</f>
        <v/>
      </c>
      <c r="J278" s="5" t="str">
        <f>""</f>
        <v/>
      </c>
      <c r="K278" s="5" t="str">
        <f t="shared" si="435"/>
        <v>нет</v>
      </c>
      <c r="L278" s="5" t="str">
        <f>""</f>
        <v/>
      </c>
      <c r="M278" s="5" t="str">
        <f>""</f>
        <v/>
      </c>
      <c r="N278" s="5" t="str">
        <f>""</f>
        <v/>
      </c>
      <c r="O278" s="8" t="str">
        <f>"2010"</f>
        <v>2010</v>
      </c>
      <c r="P278" s="5" t="str">
        <f>"3,00"</f>
        <v>3,00</v>
      </c>
      <c r="Q278" s="5" t="str">
        <f>"2040"</f>
        <v>2040</v>
      </c>
      <c r="R278" s="5" t="str">
        <f t="shared" si="444"/>
        <v>нет</v>
      </c>
      <c r="S278" s="5" t="str">
        <f t="shared" si="459"/>
        <v>х</v>
      </c>
      <c r="T278" s="5" t="str">
        <f t="shared" si="459"/>
        <v>х</v>
      </c>
      <c r="U278" s="5" t="str">
        <f t="shared" si="459"/>
        <v>х</v>
      </c>
      <c r="V278" s="5" t="str">
        <f t="shared" si="445"/>
        <v>нет</v>
      </c>
      <c r="W278" s="5" t="str">
        <f t="shared" si="460"/>
        <v>х</v>
      </c>
      <c r="X278" s="5" t="str">
        <f t="shared" si="460"/>
        <v>х</v>
      </c>
      <c r="Y278" s="9" t="str">
        <f t="shared" si="460"/>
        <v>х</v>
      </c>
      <c r="Z278" s="5" t="str">
        <f>"2010"</f>
        <v>2010</v>
      </c>
      <c r="AA278" s="5" t="str">
        <f>"1,00"</f>
        <v>1,00</v>
      </c>
      <c r="AB278" s="5" t="str">
        <f>"2040"</f>
        <v>2040</v>
      </c>
      <c r="AC278" s="5" t="str">
        <f t="shared" si="402"/>
        <v>нет</v>
      </c>
      <c r="AD278" s="5" t="str">
        <f>""</f>
        <v/>
      </c>
      <c r="AE278" s="5" t="str">
        <f>""</f>
        <v/>
      </c>
      <c r="AF278" s="5" t="str">
        <f>""</f>
        <v/>
      </c>
      <c r="AG278" s="5" t="str">
        <f t="shared" si="403"/>
        <v>нет</v>
      </c>
      <c r="AH278" s="5" t="str">
        <f>""</f>
        <v/>
      </c>
      <c r="AI278" s="5" t="str">
        <f>""</f>
        <v/>
      </c>
      <c r="AJ278" s="5" t="str">
        <f>""</f>
        <v/>
      </c>
      <c r="AK278" s="8" t="str">
        <f>"2010"</f>
        <v>2010</v>
      </c>
      <c r="AL278" s="5" t="str">
        <f>"2,00"</f>
        <v>2,00</v>
      </c>
      <c r="AM278" s="5" t="str">
        <f>"2040"</f>
        <v>2040</v>
      </c>
      <c r="AN278" s="5" t="str">
        <f t="shared" si="454"/>
        <v>нет</v>
      </c>
      <c r="AO278" s="5" t="str">
        <f t="shared" si="461"/>
        <v>х</v>
      </c>
      <c r="AP278" s="5" t="str">
        <f t="shared" si="461"/>
        <v>х</v>
      </c>
      <c r="AQ278" s="5" t="str">
        <f t="shared" si="461"/>
        <v>х</v>
      </c>
      <c r="AR278" s="5" t="str">
        <f t="shared" si="455"/>
        <v>нет</v>
      </c>
      <c r="AS278" s="5" t="str">
        <f t="shared" si="462"/>
        <v>х</v>
      </c>
      <c r="AT278" s="5" t="str">
        <f t="shared" si="462"/>
        <v>х</v>
      </c>
      <c r="AU278" s="5" t="str">
        <f t="shared" si="462"/>
        <v>х</v>
      </c>
      <c r="AV278" s="5" t="str">
        <f>"2010"</f>
        <v>2010</v>
      </c>
      <c r="AW278" s="5" t="str">
        <f>"х"</f>
        <v>х</v>
      </c>
      <c r="AX278" s="5" t="str">
        <f>"х"</f>
        <v>х</v>
      </c>
      <c r="AY278" s="5" t="str">
        <f t="shared" si="456"/>
        <v>нет</v>
      </c>
      <c r="AZ278" s="5" t="str">
        <f t="shared" si="437"/>
        <v>х</v>
      </c>
      <c r="BA278" s="5" t="str">
        <f t="shared" si="437"/>
        <v>х</v>
      </c>
      <c r="BB278" s="5" t="str">
        <f t="shared" si="437"/>
        <v>х</v>
      </c>
      <c r="BC278" s="5" t="str">
        <f t="shared" si="457"/>
        <v>нет</v>
      </c>
      <c r="BD278" s="5" t="str">
        <f t="shared" si="438"/>
        <v>х</v>
      </c>
      <c r="BE278" s="5" t="str">
        <f t="shared" si="438"/>
        <v>х</v>
      </c>
      <c r="BF278" s="5" t="str">
        <f t="shared" si="438"/>
        <v>х</v>
      </c>
      <c r="BG278" s="5" t="str">
        <f>"2010"</f>
        <v>2010</v>
      </c>
      <c r="BH278" s="5" t="str">
        <f>"1,00"</f>
        <v>1,00</v>
      </c>
      <c r="BI278" s="5" t="str">
        <f>"2040"</f>
        <v>2040</v>
      </c>
      <c r="BJ278" s="5" t="str">
        <f t="shared" si="450"/>
        <v>нет</v>
      </c>
      <c r="BK278" s="5" t="str">
        <f t="shared" si="463"/>
        <v>х</v>
      </c>
      <c r="BL278" s="5" t="str">
        <f t="shared" si="463"/>
        <v>х</v>
      </c>
      <c r="BM278" s="5" t="str">
        <f t="shared" si="463"/>
        <v>х</v>
      </c>
      <c r="BN278" s="5" t="str">
        <f t="shared" si="451"/>
        <v>нет</v>
      </c>
      <c r="BO278" s="5" t="str">
        <f t="shared" si="464"/>
        <v>х</v>
      </c>
      <c r="BP278" s="5" t="str">
        <f t="shared" si="464"/>
        <v>х</v>
      </c>
      <c r="BQ278" s="5" t="str">
        <f t="shared" si="464"/>
        <v>х</v>
      </c>
      <c r="BR278" s="5" t="str">
        <f>"2010"</f>
        <v>2010</v>
      </c>
      <c r="BS278" s="5" t="str">
        <f>"5,00"</f>
        <v>5,00</v>
      </c>
      <c r="BT278" s="5" t="str">
        <f>"2040"</f>
        <v>2040</v>
      </c>
      <c r="BU278" s="5" t="str">
        <f t="shared" si="453"/>
        <v>нет</v>
      </c>
      <c r="BV278" s="5" t="str">
        <f t="shared" si="458"/>
        <v>x</v>
      </c>
      <c r="BW278" s="5" t="str">
        <f t="shared" si="458"/>
        <v>x</v>
      </c>
      <c r="BX278" s="5" t="str">
        <f t="shared" si="458"/>
        <v>x</v>
      </c>
      <c r="BY278" s="5" t="str">
        <f t="shared" si="452"/>
        <v>нет</v>
      </c>
      <c r="BZ278" s="5" t="str">
        <f>"2010"</f>
        <v>2010</v>
      </c>
      <c r="CA278" s="5" t="str">
        <f>"4,00"</f>
        <v>4,00</v>
      </c>
      <c r="CB278" s="5" t="str">
        <f>"2040"</f>
        <v>2040</v>
      </c>
      <c r="CC278" s="5" t="str">
        <f>"2010"</f>
        <v>2010</v>
      </c>
      <c r="CD278" s="5" t="str">
        <f>"4,00"</f>
        <v>4,00</v>
      </c>
      <c r="CE278" s="5" t="str">
        <f>"2040"</f>
        <v>2040</v>
      </c>
      <c r="CF278" s="5" t="str">
        <f>"2010"</f>
        <v>2010</v>
      </c>
      <c r="CG278" s="5" t="str">
        <f>"5,00"</f>
        <v>5,00</v>
      </c>
      <c r="CH278" s="5" t="str">
        <f>"2040"</f>
        <v>2040</v>
      </c>
      <c r="CI278" s="5" t="str">
        <f>"5,00"</f>
        <v>5,00</v>
      </c>
      <c r="CJ278" s="5" t="str">
        <f>"2040"</f>
        <v>2040</v>
      </c>
    </row>
    <row r="279" spans="1:88" ht="11.25" customHeight="1">
      <c r="A279" s="3" t="str">
        <f>"1.266"</f>
        <v>1.266</v>
      </c>
      <c r="B279" s="4" t="str">
        <f>"г. Грязовец, ул. Советская, д.1А"</f>
        <v>г. Грязовец, ул. Советская, д.1А</v>
      </c>
      <c r="C279" s="7" t="str">
        <f>"1987"</f>
        <v>1987</v>
      </c>
      <c r="D279" s="5" t="str">
        <f>"1987"</f>
        <v>1987</v>
      </c>
      <c r="E279" s="5" t="str">
        <f>"13,00"</f>
        <v>13,00</v>
      </c>
      <c r="F279" s="5" t="str">
        <f>"2035"</f>
        <v>2035</v>
      </c>
      <c r="G279" s="5" t="str">
        <f t="shared" si="434"/>
        <v>нет</v>
      </c>
      <c r="H279" s="5" t="str">
        <f>""</f>
        <v/>
      </c>
      <c r="I279" s="5" t="str">
        <f>""</f>
        <v/>
      </c>
      <c r="J279" s="5" t="str">
        <f>""</f>
        <v/>
      </c>
      <c r="K279" s="5" t="str">
        <f t="shared" si="435"/>
        <v>нет</v>
      </c>
      <c r="L279" s="5" t="str">
        <f>""</f>
        <v/>
      </c>
      <c r="M279" s="5" t="str">
        <f>""</f>
        <v/>
      </c>
      <c r="N279" s="5" t="str">
        <f>""</f>
        <v/>
      </c>
      <c r="O279" s="8" t="str">
        <f>"1987"</f>
        <v>1987</v>
      </c>
      <c r="P279" s="5" t="str">
        <f>"12,00"</f>
        <v>12,00</v>
      </c>
      <c r="Q279" s="5" t="str">
        <f>"2035"</f>
        <v>2035</v>
      </c>
      <c r="R279" s="5" t="str">
        <f t="shared" si="444"/>
        <v>нет</v>
      </c>
      <c r="S279" s="5" t="str">
        <f t="shared" si="459"/>
        <v>х</v>
      </c>
      <c r="T279" s="5" t="str">
        <f t="shared" si="459"/>
        <v>х</v>
      </c>
      <c r="U279" s="5" t="str">
        <f t="shared" si="459"/>
        <v>х</v>
      </c>
      <c r="V279" s="5" t="str">
        <f t="shared" si="445"/>
        <v>нет</v>
      </c>
      <c r="W279" s="5" t="str">
        <f t="shared" si="460"/>
        <v>х</v>
      </c>
      <c r="X279" s="5" t="str">
        <f t="shared" si="460"/>
        <v>х</v>
      </c>
      <c r="Y279" s="9" t="str">
        <f t="shared" si="460"/>
        <v>х</v>
      </c>
      <c r="Z279" s="5" t="str">
        <f>"1987"</f>
        <v>1987</v>
      </c>
      <c r="AA279" s="5" t="str">
        <f>"13,00"</f>
        <v>13,00</v>
      </c>
      <c r="AB279" s="5" t="str">
        <f>"2034"</f>
        <v>2034</v>
      </c>
      <c r="AC279" s="5" t="str">
        <f t="shared" si="402"/>
        <v>нет</v>
      </c>
      <c r="AD279" s="5" t="str">
        <f>""</f>
        <v/>
      </c>
      <c r="AE279" s="5" t="str">
        <f>""</f>
        <v/>
      </c>
      <c r="AF279" s="5" t="str">
        <f>""</f>
        <v/>
      </c>
      <c r="AG279" s="5" t="str">
        <f t="shared" si="403"/>
        <v>нет</v>
      </c>
      <c r="AH279" s="5" t="str">
        <f>""</f>
        <v/>
      </c>
      <c r="AI279" s="5" t="str">
        <f>""</f>
        <v/>
      </c>
      <c r="AJ279" s="5" t="str">
        <f>""</f>
        <v/>
      </c>
      <c r="AK279" s="8" t="str">
        <f>"1987"</f>
        <v>1987</v>
      </c>
      <c r="AL279" s="5" t="str">
        <f>"12,00"</f>
        <v>12,00</v>
      </c>
      <c r="AM279" s="5" t="str">
        <f>"2034"</f>
        <v>2034</v>
      </c>
      <c r="AN279" s="5" t="str">
        <f t="shared" si="454"/>
        <v>нет</v>
      </c>
      <c r="AO279" s="5" t="str">
        <f t="shared" si="461"/>
        <v>х</v>
      </c>
      <c r="AP279" s="5" t="str">
        <f t="shared" si="461"/>
        <v>х</v>
      </c>
      <c r="AQ279" s="5" t="str">
        <f t="shared" si="461"/>
        <v>х</v>
      </c>
      <c r="AR279" s="5" t="str">
        <f t="shared" si="455"/>
        <v>нет</v>
      </c>
      <c r="AS279" s="5" t="str">
        <f t="shared" si="462"/>
        <v>х</v>
      </c>
      <c r="AT279" s="5" t="str">
        <f t="shared" si="462"/>
        <v>х</v>
      </c>
      <c r="AU279" s="5" t="str">
        <f t="shared" si="462"/>
        <v>х</v>
      </c>
      <c r="AV279" s="5" t="str">
        <f>"1987"</f>
        <v>1987</v>
      </c>
      <c r="AW279" s="5" t="str">
        <f>"14,00"</f>
        <v>14,00</v>
      </c>
      <c r="AX279" s="5" t="str">
        <f>"2035"</f>
        <v>2035</v>
      </c>
      <c r="AY279" s="5" t="str">
        <f t="shared" si="456"/>
        <v>нет</v>
      </c>
      <c r="AZ279" s="5" t="str">
        <f t="shared" ref="AZ279:BB291" si="465">"х"</f>
        <v>х</v>
      </c>
      <c r="BA279" s="5" t="str">
        <f t="shared" si="465"/>
        <v>х</v>
      </c>
      <c r="BB279" s="5" t="str">
        <f t="shared" si="465"/>
        <v>х</v>
      </c>
      <c r="BC279" s="5" t="str">
        <f t="shared" si="457"/>
        <v>нет</v>
      </c>
      <c r="BD279" s="5" t="str">
        <f t="shared" ref="BD279:BF291" si="466">"х"</f>
        <v>х</v>
      </c>
      <c r="BE279" s="5" t="str">
        <f t="shared" si="466"/>
        <v>х</v>
      </c>
      <c r="BF279" s="5" t="str">
        <f t="shared" si="466"/>
        <v>х</v>
      </c>
      <c r="BG279" s="5" t="str">
        <f>"1987"</f>
        <v>1987</v>
      </c>
      <c r="BH279" s="5" t="str">
        <f>"14,00"</f>
        <v>14,00</v>
      </c>
      <c r="BI279" s="5" t="str">
        <f>"2035"</f>
        <v>2035</v>
      </c>
      <c r="BJ279" s="5" t="str">
        <f t="shared" si="450"/>
        <v>нет</v>
      </c>
      <c r="BK279" s="5" t="str">
        <f t="shared" si="463"/>
        <v>х</v>
      </c>
      <c r="BL279" s="5" t="str">
        <f t="shared" si="463"/>
        <v>х</v>
      </c>
      <c r="BM279" s="5" t="str">
        <f t="shared" si="463"/>
        <v>х</v>
      </c>
      <c r="BN279" s="5" t="str">
        <f t="shared" si="451"/>
        <v>нет</v>
      </c>
      <c r="BO279" s="5" t="str">
        <f t="shared" si="464"/>
        <v>х</v>
      </c>
      <c r="BP279" s="5" t="str">
        <f t="shared" si="464"/>
        <v>х</v>
      </c>
      <c r="BQ279" s="5" t="str">
        <f t="shared" si="464"/>
        <v>х</v>
      </c>
      <c r="BR279" s="5" t="str">
        <f>"1987"</f>
        <v>1987</v>
      </c>
      <c r="BS279" s="5" t="str">
        <f>"15,00"</f>
        <v>15,00</v>
      </c>
      <c r="BT279" s="5" t="str">
        <f>"2034"</f>
        <v>2034</v>
      </c>
      <c r="BU279" s="5" t="str">
        <f t="shared" si="453"/>
        <v>нет</v>
      </c>
      <c r="BV279" s="5" t="str">
        <f t="shared" si="458"/>
        <v>x</v>
      </c>
      <c r="BW279" s="5" t="str">
        <f t="shared" si="458"/>
        <v>x</v>
      </c>
      <c r="BX279" s="5" t="str">
        <f t="shared" si="458"/>
        <v>x</v>
      </c>
      <c r="BY279" s="5" t="str">
        <f t="shared" si="452"/>
        <v>нет</v>
      </c>
      <c r="BZ279" s="5" t="str">
        <f>"1987"</f>
        <v>1987</v>
      </c>
      <c r="CA279" s="5" t="str">
        <f>"16,00"</f>
        <v>16,00</v>
      </c>
      <c r="CB279" s="5" t="str">
        <f>"2032"</f>
        <v>2032</v>
      </c>
      <c r="CC279" s="5" t="str">
        <f>"1987"</f>
        <v>1987</v>
      </c>
      <c r="CD279" s="5" t="str">
        <f>"16,00"</f>
        <v>16,00</v>
      </c>
      <c r="CE279" s="5" t="str">
        <f>"2032"</f>
        <v>2032</v>
      </c>
      <c r="CF279" s="5" t="str">
        <f>"1987"</f>
        <v>1987</v>
      </c>
      <c r="CG279" s="5" t="str">
        <f>"17,00"</f>
        <v>17,00</v>
      </c>
      <c r="CH279" s="5" t="str">
        <f>"2035"</f>
        <v>2035</v>
      </c>
      <c r="CI279" s="5" t="str">
        <f>"17,00"</f>
        <v>17,00</v>
      </c>
      <c r="CJ279" s="5" t="str">
        <f>"2043"</f>
        <v>2043</v>
      </c>
    </row>
    <row r="280" spans="1:88" ht="11.25" customHeight="1">
      <c r="A280" s="3" t="str">
        <f>"1.267"</f>
        <v>1.267</v>
      </c>
      <c r="B280" s="4" t="str">
        <f>"г. Грязовец, ул. Советская, д.42"</f>
        <v>г. Грязовец, ул. Советская, д.42</v>
      </c>
      <c r="C280" s="7" t="str">
        <f>"1966"</f>
        <v>1966</v>
      </c>
      <c r="D280" s="5" t="str">
        <f>"2001"</f>
        <v>2001</v>
      </c>
      <c r="E280" s="5" t="str">
        <f>"36,00"</f>
        <v>36,00</v>
      </c>
      <c r="F280" s="5" t="str">
        <f>"2021"</f>
        <v>2021</v>
      </c>
      <c r="G280" s="5" t="str">
        <f t="shared" ref="G280:G285" si="467">"да"</f>
        <v>да</v>
      </c>
      <c r="H280" s="5" t="str">
        <f>""</f>
        <v/>
      </c>
      <c r="I280" s="5" t="str">
        <f>"30,00"</f>
        <v>30,00</v>
      </c>
      <c r="J280" s="5" t="str">
        <f>"2021"</f>
        <v>2021</v>
      </c>
      <c r="K280" s="5" t="str">
        <f t="shared" ref="K280:K285" si="468">"да"</f>
        <v>да</v>
      </c>
      <c r="L280" s="5" t="str">
        <f>""</f>
        <v/>
      </c>
      <c r="M280" s="5" t="str">
        <f>"30,00"</f>
        <v>30,00</v>
      </c>
      <c r="N280" s="5" t="str">
        <f>"2021"</f>
        <v>2021</v>
      </c>
      <c r="O280" s="8" t="str">
        <f>"1966"</f>
        <v>1966</v>
      </c>
      <c r="P280" s="5" t="str">
        <f>"54,00"</f>
        <v>54,00</v>
      </c>
      <c r="Q280" s="5" t="str">
        <f>"2020"</f>
        <v>2020</v>
      </c>
      <c r="R280" s="5" t="str">
        <f t="shared" si="444"/>
        <v>нет</v>
      </c>
      <c r="S280" s="5" t="str">
        <f t="shared" si="459"/>
        <v>х</v>
      </c>
      <c r="T280" s="5" t="str">
        <f t="shared" si="459"/>
        <v>х</v>
      </c>
      <c r="U280" s="5" t="str">
        <f t="shared" si="459"/>
        <v>х</v>
      </c>
      <c r="V280" s="5" t="str">
        <f t="shared" si="445"/>
        <v>нет</v>
      </c>
      <c r="W280" s="5" t="str">
        <f t="shared" si="460"/>
        <v>х</v>
      </c>
      <c r="X280" s="5" t="str">
        <f t="shared" si="460"/>
        <v>х</v>
      </c>
      <c r="Y280" s="9" t="str">
        <f t="shared" si="460"/>
        <v>х</v>
      </c>
      <c r="Z280" s="5" t="str">
        <f>"1966"</f>
        <v>1966</v>
      </c>
      <c r="AA280" s="5" t="str">
        <f>"51,00"</f>
        <v>51,00</v>
      </c>
      <c r="AB280" s="5" t="str">
        <f>"2021"</f>
        <v>2021</v>
      </c>
      <c r="AC280" s="5" t="str">
        <f t="shared" si="402"/>
        <v>нет</v>
      </c>
      <c r="AD280" s="5" t="str">
        <f>"х"</f>
        <v>х</v>
      </c>
      <c r="AE280" s="5" t="str">
        <f>"х"</f>
        <v>х</v>
      </c>
      <c r="AF280" s="5" t="str">
        <f>"х"</f>
        <v>х</v>
      </c>
      <c r="AG280" s="5" t="str">
        <f t="shared" si="403"/>
        <v>нет</v>
      </c>
      <c r="AH280" s="5" t="str">
        <f>"х"</f>
        <v>х</v>
      </c>
      <c r="AI280" s="5" t="str">
        <f>"х"</f>
        <v>х</v>
      </c>
      <c r="AJ280" s="5" t="str">
        <f>"х"</f>
        <v>х</v>
      </c>
      <c r="AK280" s="8" t="str">
        <f>"1966"</f>
        <v>1966</v>
      </c>
      <c r="AL280" s="5" t="str">
        <f>"62,00"</f>
        <v>62,00</v>
      </c>
      <c r="AM280" s="5" t="str">
        <f>"2019"</f>
        <v>2019</v>
      </c>
      <c r="AN280" s="5" t="str">
        <f t="shared" si="454"/>
        <v>нет</v>
      </c>
      <c r="AO280" s="5" t="str">
        <f t="shared" si="461"/>
        <v>х</v>
      </c>
      <c r="AP280" s="5" t="str">
        <f t="shared" si="461"/>
        <v>х</v>
      </c>
      <c r="AQ280" s="5" t="str">
        <f t="shared" si="461"/>
        <v>х</v>
      </c>
      <c r="AR280" s="5" t="str">
        <f t="shared" si="455"/>
        <v>нет</v>
      </c>
      <c r="AS280" s="5" t="str">
        <f t="shared" si="462"/>
        <v>х</v>
      </c>
      <c r="AT280" s="5" t="str">
        <f t="shared" si="462"/>
        <v>х</v>
      </c>
      <c r="AU280" s="5" t="str">
        <f t="shared" si="462"/>
        <v>х</v>
      </c>
      <c r="AV280" s="5" t="str">
        <f>"1966"</f>
        <v>1966</v>
      </c>
      <c r="AW280" s="5" t="str">
        <f>"49,00"</f>
        <v>49,00</v>
      </c>
      <c r="AX280" s="5" t="str">
        <f>"2022"</f>
        <v>2022</v>
      </c>
      <c r="AY280" s="5" t="str">
        <f t="shared" si="456"/>
        <v>нет</v>
      </c>
      <c r="AZ280" s="5" t="str">
        <f t="shared" si="465"/>
        <v>х</v>
      </c>
      <c r="BA280" s="5" t="str">
        <f t="shared" si="465"/>
        <v>х</v>
      </c>
      <c r="BB280" s="5" t="str">
        <f t="shared" si="465"/>
        <v>х</v>
      </c>
      <c r="BC280" s="5" t="str">
        <f t="shared" si="457"/>
        <v>нет</v>
      </c>
      <c r="BD280" s="5" t="str">
        <f t="shared" si="466"/>
        <v>х</v>
      </c>
      <c r="BE280" s="5" t="str">
        <f t="shared" si="466"/>
        <v>х</v>
      </c>
      <c r="BF280" s="5" t="str">
        <f t="shared" si="466"/>
        <v>х</v>
      </c>
      <c r="BG280" s="5" t="str">
        <f>"1966"</f>
        <v>1966</v>
      </c>
      <c r="BH280" s="5" t="str">
        <f>"51,00"</f>
        <v>51,00</v>
      </c>
      <c r="BI280" s="5" t="str">
        <f>"2021"</f>
        <v>2021</v>
      </c>
      <c r="BJ280" s="5" t="str">
        <f t="shared" si="450"/>
        <v>нет</v>
      </c>
      <c r="BK280" s="5" t="str">
        <f t="shared" si="463"/>
        <v>х</v>
      </c>
      <c r="BL280" s="5" t="str">
        <f t="shared" si="463"/>
        <v>х</v>
      </c>
      <c r="BM280" s="5" t="str">
        <f t="shared" si="463"/>
        <v>х</v>
      </c>
      <c r="BN280" s="5" t="str">
        <f t="shared" si="451"/>
        <v>нет</v>
      </c>
      <c r="BO280" s="5" t="str">
        <f t="shared" si="464"/>
        <v>х</v>
      </c>
      <c r="BP280" s="5" t="str">
        <f t="shared" si="464"/>
        <v>х</v>
      </c>
      <c r="BQ280" s="5" t="str">
        <f t="shared" si="464"/>
        <v>х</v>
      </c>
      <c r="BR280" s="5" t="str">
        <f>"1966"</f>
        <v>1966</v>
      </c>
      <c r="BS280" s="5" t="str">
        <f>"60,00"</f>
        <v>60,00</v>
      </c>
      <c r="BT280" s="5" t="str">
        <f>"2019"</f>
        <v>2019</v>
      </c>
      <c r="BU280" s="5" t="str">
        <f t="shared" si="453"/>
        <v>нет</v>
      </c>
      <c r="BV280" s="5" t="str">
        <f t="shared" si="458"/>
        <v>x</v>
      </c>
      <c r="BW280" s="5" t="str">
        <f t="shared" si="458"/>
        <v>x</v>
      </c>
      <c r="BX280" s="5" t="str">
        <f t="shared" si="458"/>
        <v>x</v>
      </c>
      <c r="BY280" s="5" t="str">
        <f t="shared" si="452"/>
        <v>нет</v>
      </c>
      <c r="BZ280" s="5" t="str">
        <f>"1966"</f>
        <v>1966</v>
      </c>
      <c r="CA280" s="5" t="str">
        <f>"50,00"</f>
        <v>50,00</v>
      </c>
      <c r="CB280" s="5" t="str">
        <f>"2020"</f>
        <v>2020</v>
      </c>
      <c r="CC280" s="5" t="str">
        <f>"1966"</f>
        <v>1966</v>
      </c>
      <c r="CD280" s="5" t="str">
        <f>"74,00"</f>
        <v>74,00</v>
      </c>
      <c r="CE280" s="5" t="str">
        <f>"2019"</f>
        <v>2019</v>
      </c>
      <c r="CF280" s="5" t="str">
        <f>"1966"</f>
        <v>1966</v>
      </c>
      <c r="CG280" s="5" t="str">
        <f>"52,00"</f>
        <v>52,00</v>
      </c>
      <c r="CH280" s="5" t="str">
        <f>"2021"</f>
        <v>2021</v>
      </c>
      <c r="CI280" s="5" t="str">
        <f>"57,00"</f>
        <v>57,00</v>
      </c>
      <c r="CJ280" s="5" t="str">
        <f>"2022"</f>
        <v>2022</v>
      </c>
    </row>
    <row r="281" spans="1:88" ht="11.25" customHeight="1">
      <c r="A281" s="3" t="str">
        <f>"1.268"</f>
        <v>1.268</v>
      </c>
      <c r="B281" s="4" t="str">
        <f>"г. Грязовец, ул. Советская, д.46"</f>
        <v>г. Грязовец, ул. Советская, д.46</v>
      </c>
      <c r="C281" s="7" t="str">
        <f>"1990"</f>
        <v>1990</v>
      </c>
      <c r="D281" s="5" t="str">
        <f>"1990"</f>
        <v>1990</v>
      </c>
      <c r="E281" s="5" t="str">
        <f>"12,00"</f>
        <v>12,00</v>
      </c>
      <c r="F281" s="5" t="str">
        <f>"2036"</f>
        <v>2036</v>
      </c>
      <c r="G281" s="5" t="str">
        <f t="shared" si="467"/>
        <v>да</v>
      </c>
      <c r="H281" s="5" t="str">
        <f>""</f>
        <v/>
      </c>
      <c r="I281" s="5" t="str">
        <f>"10,00"</f>
        <v>10,00</v>
      </c>
      <c r="J281" s="5" t="str">
        <f>"2036"</f>
        <v>2036</v>
      </c>
      <c r="K281" s="5" t="str">
        <f t="shared" si="468"/>
        <v>да</v>
      </c>
      <c r="L281" s="5" t="str">
        <f>""</f>
        <v/>
      </c>
      <c r="M281" s="5" t="str">
        <f>"10,00"</f>
        <v>10,00</v>
      </c>
      <c r="N281" s="5" t="str">
        <f>"2036"</f>
        <v>2036</v>
      </c>
      <c r="O281" s="8" t="str">
        <f>"1990"</f>
        <v>1990</v>
      </c>
      <c r="P281" s="5" t="str">
        <f>"13,00"</f>
        <v>13,00</v>
      </c>
      <c r="Q281" s="5" t="str">
        <f>"2032"</f>
        <v>2032</v>
      </c>
      <c r="R281" s="5" t="str">
        <f t="shared" si="444"/>
        <v>нет</v>
      </c>
      <c r="S281" s="5" t="str">
        <f t="shared" si="459"/>
        <v>х</v>
      </c>
      <c r="T281" s="5" t="str">
        <f t="shared" si="459"/>
        <v>х</v>
      </c>
      <c r="U281" s="5" t="str">
        <f t="shared" si="459"/>
        <v>х</v>
      </c>
      <c r="V281" s="5" t="str">
        <f t="shared" si="445"/>
        <v>нет</v>
      </c>
      <c r="W281" s="5" t="str">
        <f t="shared" si="460"/>
        <v>х</v>
      </c>
      <c r="X281" s="5" t="str">
        <f t="shared" si="460"/>
        <v>х</v>
      </c>
      <c r="Y281" s="9" t="str">
        <f t="shared" si="460"/>
        <v>х</v>
      </c>
      <c r="Z281" s="5" t="str">
        <f>"1990"</f>
        <v>1990</v>
      </c>
      <c r="AA281" s="5" t="str">
        <f>"14,00"</f>
        <v>14,00</v>
      </c>
      <c r="AB281" s="5" t="str">
        <f>"2034"</f>
        <v>2034</v>
      </c>
      <c r="AC281" s="5" t="str">
        <f>"да"</f>
        <v>да</v>
      </c>
      <c r="AD281" s="5" t="str">
        <f>""</f>
        <v/>
      </c>
      <c r="AE281" s="5" t="str">
        <f>"10,00"</f>
        <v>10,00</v>
      </c>
      <c r="AF281" s="5" t="str">
        <f>"2034"</f>
        <v>2034</v>
      </c>
      <c r="AG281" s="5" t="str">
        <f>"да"</f>
        <v>да</v>
      </c>
      <c r="AH281" s="5" t="str">
        <f>""</f>
        <v/>
      </c>
      <c r="AI281" s="5" t="str">
        <f>"10,00"</f>
        <v>10,00</v>
      </c>
      <c r="AJ281" s="5" t="str">
        <f>"2034"</f>
        <v>2034</v>
      </c>
      <c r="AK281" s="8" t="str">
        <f>"1990"</f>
        <v>1990</v>
      </c>
      <c r="AL281" s="5" t="str">
        <f>"22,00"</f>
        <v>22,00</v>
      </c>
      <c r="AM281" s="5" t="str">
        <f>"2030"</f>
        <v>2030</v>
      </c>
      <c r="AN281" s="5" t="str">
        <f>"да"</f>
        <v>да</v>
      </c>
      <c r="AO281" s="5" t="str">
        <f t="shared" si="461"/>
        <v>х</v>
      </c>
      <c r="AP281" s="5" t="str">
        <f t="shared" si="461"/>
        <v>х</v>
      </c>
      <c r="AQ281" s="5" t="str">
        <f t="shared" si="461"/>
        <v>х</v>
      </c>
      <c r="AR281" s="5" t="str">
        <f>"да"</f>
        <v>да</v>
      </c>
      <c r="AS281" s="5" t="str">
        <f t="shared" si="462"/>
        <v>х</v>
      </c>
      <c r="AT281" s="5" t="str">
        <f t="shared" si="462"/>
        <v>х</v>
      </c>
      <c r="AU281" s="5" t="str">
        <f t="shared" si="462"/>
        <v>х</v>
      </c>
      <c r="AV281" s="5" t="str">
        <f>"1990"</f>
        <v>1990</v>
      </c>
      <c r="AW281" s="5" t="str">
        <f>"14,00"</f>
        <v>14,00</v>
      </c>
      <c r="AX281" s="5" t="str">
        <f>"2031"</f>
        <v>2031</v>
      </c>
      <c r="AY281" s="5" t="str">
        <f t="shared" si="456"/>
        <v>нет</v>
      </c>
      <c r="AZ281" s="5" t="str">
        <f t="shared" si="465"/>
        <v>х</v>
      </c>
      <c r="BA281" s="5" t="str">
        <f t="shared" si="465"/>
        <v>х</v>
      </c>
      <c r="BB281" s="5" t="str">
        <f t="shared" si="465"/>
        <v>х</v>
      </c>
      <c r="BC281" s="5" t="str">
        <f t="shared" si="457"/>
        <v>нет</v>
      </c>
      <c r="BD281" s="5" t="str">
        <f t="shared" si="466"/>
        <v>х</v>
      </c>
      <c r="BE281" s="5" t="str">
        <f t="shared" si="466"/>
        <v>х</v>
      </c>
      <c r="BF281" s="5" t="str">
        <f t="shared" si="466"/>
        <v>х</v>
      </c>
      <c r="BG281" s="5" t="str">
        <f>"1990"</f>
        <v>1990</v>
      </c>
      <c r="BH281" s="5" t="str">
        <f>"20,00"</f>
        <v>20,00</v>
      </c>
      <c r="BI281" s="5" t="str">
        <f>"2030"</f>
        <v>2030</v>
      </c>
      <c r="BJ281" s="5" t="str">
        <f t="shared" si="450"/>
        <v>нет</v>
      </c>
      <c r="BK281" s="5" t="str">
        <f t="shared" si="463"/>
        <v>х</v>
      </c>
      <c r="BL281" s="5" t="str">
        <f t="shared" si="463"/>
        <v>х</v>
      </c>
      <c r="BM281" s="5" t="str">
        <f t="shared" si="463"/>
        <v>х</v>
      </c>
      <c r="BN281" s="5" t="str">
        <f t="shared" si="451"/>
        <v>нет</v>
      </c>
      <c r="BO281" s="5" t="str">
        <f t="shared" si="464"/>
        <v>х</v>
      </c>
      <c r="BP281" s="5" t="str">
        <f t="shared" si="464"/>
        <v>х</v>
      </c>
      <c r="BQ281" s="5" t="str">
        <f t="shared" si="464"/>
        <v>х</v>
      </c>
      <c r="BR281" s="5" t="str">
        <f>"1990"</f>
        <v>1990</v>
      </c>
      <c r="BS281" s="5" t="str">
        <f>"31,00"</f>
        <v>31,00</v>
      </c>
      <c r="BT281" s="5" t="str">
        <f>"2024"</f>
        <v>2024</v>
      </c>
      <c r="BU281" s="5" t="str">
        <f t="shared" si="453"/>
        <v>нет</v>
      </c>
      <c r="BV281" s="5" t="str">
        <f t="shared" si="458"/>
        <v>x</v>
      </c>
      <c r="BW281" s="5" t="str">
        <f t="shared" si="458"/>
        <v>x</v>
      </c>
      <c r="BX281" s="5" t="str">
        <f t="shared" si="458"/>
        <v>x</v>
      </c>
      <c r="BY281" s="5" t="str">
        <f t="shared" si="452"/>
        <v>нет</v>
      </c>
      <c r="BZ281" s="5" t="str">
        <f>"1990"</f>
        <v>1990</v>
      </c>
      <c r="CA281" s="5" t="str">
        <f>"15,00"</f>
        <v>15,00</v>
      </c>
      <c r="CB281" s="5" t="str">
        <f>"2031"</f>
        <v>2031</v>
      </c>
      <c r="CC281" s="5" t="str">
        <f>"1990"</f>
        <v>1990</v>
      </c>
      <c r="CD281" s="5" t="str">
        <f>"18,00"</f>
        <v>18,00</v>
      </c>
      <c r="CE281" s="5" t="str">
        <f>"2031"</f>
        <v>2031</v>
      </c>
      <c r="CF281" s="5" t="str">
        <f>"1990"</f>
        <v>1990</v>
      </c>
      <c r="CG281" s="5" t="str">
        <f>"10,00"</f>
        <v>10,00</v>
      </c>
      <c r="CH281" s="5" t="str">
        <f>"2035"</f>
        <v>2035</v>
      </c>
      <c r="CI281" s="5" t="str">
        <f>"15,00"</f>
        <v>15,00</v>
      </c>
      <c r="CJ281" s="5" t="str">
        <f>"2044"</f>
        <v>2044</v>
      </c>
    </row>
    <row r="282" spans="1:88" ht="11.25" customHeight="1">
      <c r="A282" s="3" t="str">
        <f>"1.269"</f>
        <v>1.269</v>
      </c>
      <c r="B282" s="4" t="str">
        <f>"г. Грязовец, ул. Советская, д.51"</f>
        <v>г. Грязовец, ул. Советская, д.51</v>
      </c>
      <c r="C282" s="7" t="str">
        <f>"1996"</f>
        <v>1996</v>
      </c>
      <c r="D282" s="5" t="str">
        <f>"1996"</f>
        <v>1996</v>
      </c>
      <c r="E282" s="5" t="str">
        <f>"15,00"</f>
        <v>15,00</v>
      </c>
      <c r="F282" s="5" t="str">
        <f>"2026"</f>
        <v>2026</v>
      </c>
      <c r="G282" s="5" t="str">
        <f t="shared" si="467"/>
        <v>да</v>
      </c>
      <c r="H282" s="5" t="str">
        <f>""</f>
        <v/>
      </c>
      <c r="I282" s="5" t="str">
        <f>"10,00"</f>
        <v>10,00</v>
      </c>
      <c r="J282" s="5" t="str">
        <f>"2026"</f>
        <v>2026</v>
      </c>
      <c r="K282" s="5" t="str">
        <f t="shared" si="468"/>
        <v>да</v>
      </c>
      <c r="L282" s="5" t="str">
        <f>""</f>
        <v/>
      </c>
      <c r="M282" s="5" t="str">
        <f>"10,00"</f>
        <v>10,00</v>
      </c>
      <c r="N282" s="5" t="str">
        <f>"2026"</f>
        <v>2026</v>
      </c>
      <c r="O282" s="8" t="str">
        <f>"1996"</f>
        <v>1996</v>
      </c>
      <c r="P282" s="5" t="str">
        <f>"20,00"</f>
        <v>20,00</v>
      </c>
      <c r="Q282" s="5" t="str">
        <f>"2028"</f>
        <v>2028</v>
      </c>
      <c r="R282" s="5" t="str">
        <f t="shared" si="444"/>
        <v>нет</v>
      </c>
      <c r="S282" s="5" t="str">
        <f t="shared" si="459"/>
        <v>х</v>
      </c>
      <c r="T282" s="5" t="str">
        <f t="shared" si="459"/>
        <v>х</v>
      </c>
      <c r="U282" s="5" t="str">
        <f t="shared" si="459"/>
        <v>х</v>
      </c>
      <c r="V282" s="5" t="str">
        <f>"да"</f>
        <v>да</v>
      </c>
      <c r="W282" s="5" t="str">
        <f t="shared" si="460"/>
        <v>х</v>
      </c>
      <c r="X282" s="5" t="str">
        <f t="shared" si="460"/>
        <v>х</v>
      </c>
      <c r="Y282" s="9" t="str">
        <f t="shared" si="460"/>
        <v>х</v>
      </c>
      <c r="Z282" s="5" t="str">
        <f>"1996"</f>
        <v>1996</v>
      </c>
      <c r="AA282" s="5" t="str">
        <f>"14,00"</f>
        <v>14,00</v>
      </c>
      <c r="AB282" s="5" t="str">
        <f>"2026"</f>
        <v>2026</v>
      </c>
      <c r="AC282" s="5" t="str">
        <f>"да"</f>
        <v>да</v>
      </c>
      <c r="AD282" s="5" t="str">
        <f t="shared" ref="AD282:AF283" si="469">"х"</f>
        <v>х</v>
      </c>
      <c r="AE282" s="5" t="str">
        <f t="shared" si="469"/>
        <v>х</v>
      </c>
      <c r="AF282" s="5" t="str">
        <f t="shared" si="469"/>
        <v>х</v>
      </c>
      <c r="AG282" s="5" t="str">
        <f>"да"</f>
        <v>да</v>
      </c>
      <c r="AH282" s="5" t="str">
        <f t="shared" ref="AH282:AJ283" si="470">"х"</f>
        <v>х</v>
      </c>
      <c r="AI282" s="5" t="str">
        <f t="shared" si="470"/>
        <v>х</v>
      </c>
      <c r="AJ282" s="5" t="str">
        <f t="shared" si="470"/>
        <v>х</v>
      </c>
      <c r="AK282" s="8" t="str">
        <f>"1996"</f>
        <v>1996</v>
      </c>
      <c r="AL282" s="5" t="str">
        <f>"22,00"</f>
        <v>22,00</v>
      </c>
      <c r="AM282" s="5" t="str">
        <f>"2027"</f>
        <v>2027</v>
      </c>
      <c r="AN282" s="5" t="str">
        <f>"да"</f>
        <v>да</v>
      </c>
      <c r="AO282" s="5" t="str">
        <f t="shared" si="461"/>
        <v>х</v>
      </c>
      <c r="AP282" s="5" t="str">
        <f t="shared" si="461"/>
        <v>х</v>
      </c>
      <c r="AQ282" s="5" t="str">
        <f t="shared" si="461"/>
        <v>х</v>
      </c>
      <c r="AR282" s="5" t="str">
        <f>"да"</f>
        <v>да</v>
      </c>
      <c r="AS282" s="5" t="str">
        <f t="shared" si="462"/>
        <v>х</v>
      </c>
      <c r="AT282" s="5" t="str">
        <f t="shared" si="462"/>
        <v>х</v>
      </c>
      <c r="AU282" s="5" t="str">
        <f t="shared" si="462"/>
        <v>х</v>
      </c>
      <c r="AV282" s="5" t="str">
        <f t="shared" ref="AV282:AY285" si="471">"х"</f>
        <v>х</v>
      </c>
      <c r="AW282" s="5" t="str">
        <f t="shared" si="471"/>
        <v>х</v>
      </c>
      <c r="AX282" s="5" t="str">
        <f t="shared" si="471"/>
        <v>х</v>
      </c>
      <c r="AY282" s="5" t="str">
        <f t="shared" si="471"/>
        <v>х</v>
      </c>
      <c r="AZ282" s="5" t="str">
        <f t="shared" si="465"/>
        <v>х</v>
      </c>
      <c r="BA282" s="5" t="str">
        <f t="shared" si="465"/>
        <v>х</v>
      </c>
      <c r="BB282" s="5" t="str">
        <f t="shared" si="465"/>
        <v>х</v>
      </c>
      <c r="BC282" s="5" t="str">
        <f>"х"</f>
        <v>х</v>
      </c>
      <c r="BD282" s="5" t="str">
        <f t="shared" si="466"/>
        <v>х</v>
      </c>
      <c r="BE282" s="5" t="str">
        <f t="shared" si="466"/>
        <v>х</v>
      </c>
      <c r="BF282" s="5" t="str">
        <f t="shared" si="466"/>
        <v>х</v>
      </c>
      <c r="BG282" s="5" t="str">
        <f>"1996"</f>
        <v>1996</v>
      </c>
      <c r="BH282" s="5" t="str">
        <f>"20,00"</f>
        <v>20,00</v>
      </c>
      <c r="BI282" s="5" t="str">
        <f>"2027"</f>
        <v>2027</v>
      </c>
      <c r="BJ282" s="5" t="str">
        <f t="shared" si="450"/>
        <v>нет</v>
      </c>
      <c r="BK282" s="5" t="str">
        <f t="shared" si="463"/>
        <v>х</v>
      </c>
      <c r="BL282" s="5" t="str">
        <f t="shared" si="463"/>
        <v>х</v>
      </c>
      <c r="BM282" s="5" t="str">
        <f t="shared" si="463"/>
        <v>х</v>
      </c>
      <c r="BN282" s="5" t="str">
        <f t="shared" si="451"/>
        <v>нет</v>
      </c>
      <c r="BO282" s="5" t="str">
        <f t="shared" si="464"/>
        <v>х</v>
      </c>
      <c r="BP282" s="5" t="str">
        <f t="shared" si="464"/>
        <v>х</v>
      </c>
      <c r="BQ282" s="5" t="str">
        <f t="shared" si="464"/>
        <v>х</v>
      </c>
      <c r="BR282" s="5" t="str">
        <f>"1996"</f>
        <v>1996</v>
      </c>
      <c r="BS282" s="5" t="str">
        <f>"30,00"</f>
        <v>30,00</v>
      </c>
      <c r="BT282" s="5" t="str">
        <f>"2026"</f>
        <v>2026</v>
      </c>
      <c r="BU282" s="5" t="str">
        <f t="shared" si="453"/>
        <v>нет</v>
      </c>
      <c r="BV282" s="5" t="str">
        <f t="shared" si="458"/>
        <v>x</v>
      </c>
      <c r="BW282" s="5" t="str">
        <f t="shared" si="458"/>
        <v>x</v>
      </c>
      <c r="BX282" s="5" t="str">
        <f t="shared" si="458"/>
        <v>x</v>
      </c>
      <c r="BY282" s="5" t="str">
        <f t="shared" si="452"/>
        <v>нет</v>
      </c>
      <c r="BZ282" s="5" t="str">
        <f t="shared" ref="BZ282:CB285" si="472">"x"</f>
        <v>x</v>
      </c>
      <c r="CA282" s="5" t="str">
        <f t="shared" si="472"/>
        <v>x</v>
      </c>
      <c r="CB282" s="5" t="str">
        <f t="shared" si="472"/>
        <v>x</v>
      </c>
      <c r="CC282" s="5" t="str">
        <f>"1996"</f>
        <v>1996</v>
      </c>
      <c r="CD282" s="5" t="str">
        <f>"22,00"</f>
        <v>22,00</v>
      </c>
      <c r="CE282" s="5" t="str">
        <f>"2029"</f>
        <v>2029</v>
      </c>
      <c r="CF282" s="5" t="str">
        <f>"1996"</f>
        <v>1996</v>
      </c>
      <c r="CG282" s="5" t="str">
        <f>"12,00"</f>
        <v>12,00</v>
      </c>
      <c r="CH282" s="5" t="str">
        <f>"2030"</f>
        <v>2030</v>
      </c>
      <c r="CI282" s="5" t="str">
        <f>"19,00"</f>
        <v>19,00</v>
      </c>
      <c r="CJ282" s="5" t="str">
        <f>"2040"</f>
        <v>2040</v>
      </c>
    </row>
    <row r="283" spans="1:88" ht="11.25" customHeight="1">
      <c r="A283" s="3" t="str">
        <f>"1.270"</f>
        <v>1.270</v>
      </c>
      <c r="B283" s="4" t="str">
        <f>"г. Грязовец, ул. Советская, д.52"</f>
        <v>г. Грязовец, ул. Советская, д.52</v>
      </c>
      <c r="C283" s="7" t="str">
        <f>"1917"</f>
        <v>1917</v>
      </c>
      <c r="D283" s="5" t="str">
        <f>"2005"</f>
        <v>2005</v>
      </c>
      <c r="E283" s="5" t="str">
        <f>"16,00"</f>
        <v>16,00</v>
      </c>
      <c r="F283" s="5" t="str">
        <f>"2030"</f>
        <v>2030</v>
      </c>
      <c r="G283" s="5" t="str">
        <f t="shared" si="467"/>
        <v>да</v>
      </c>
      <c r="H283" s="5" t="str">
        <f>""</f>
        <v/>
      </c>
      <c r="I283" s="5" t="str">
        <f>"15,00"</f>
        <v>15,00</v>
      </c>
      <c r="J283" s="5" t="str">
        <f>"2030"</f>
        <v>2030</v>
      </c>
      <c r="K283" s="5" t="str">
        <f t="shared" si="468"/>
        <v>да</v>
      </c>
      <c r="L283" s="5" t="str">
        <f>""</f>
        <v/>
      </c>
      <c r="M283" s="5" t="str">
        <f>"15,00"</f>
        <v>15,00</v>
      </c>
      <c r="N283" s="5" t="str">
        <f>"2030"</f>
        <v>2030</v>
      </c>
      <c r="O283" s="8" t="str">
        <f>""</f>
        <v/>
      </c>
      <c r="P283" s="5" t="str">
        <f>""</f>
        <v/>
      </c>
      <c r="Q283" s="5" t="str">
        <f>""</f>
        <v/>
      </c>
      <c r="R283" s="5" t="str">
        <f>""</f>
        <v/>
      </c>
      <c r="S283" s="5" t="str">
        <f>""</f>
        <v/>
      </c>
      <c r="T283" s="5" t="str">
        <f>""</f>
        <v/>
      </c>
      <c r="U283" s="5" t="str">
        <f>""</f>
        <v/>
      </c>
      <c r="V283" s="5" t="str">
        <f>""</f>
        <v/>
      </c>
      <c r="W283" s="5" t="str">
        <f>""</f>
        <v/>
      </c>
      <c r="X283" s="5" t="str">
        <f>""</f>
        <v/>
      </c>
      <c r="Y283" s="9" t="str">
        <f>""</f>
        <v/>
      </c>
      <c r="Z283" s="5" t="str">
        <f>"2001"</f>
        <v>2001</v>
      </c>
      <c r="AA283" s="5" t="str">
        <f>"16,00"</f>
        <v>16,00</v>
      </c>
      <c r="AB283" s="5" t="str">
        <f>"2026"</f>
        <v>2026</v>
      </c>
      <c r="AC283" s="5" t="str">
        <f>"да"</f>
        <v>да</v>
      </c>
      <c r="AD283" s="5" t="str">
        <f t="shared" si="469"/>
        <v>х</v>
      </c>
      <c r="AE283" s="5" t="str">
        <f t="shared" si="469"/>
        <v>х</v>
      </c>
      <c r="AF283" s="5" t="str">
        <f t="shared" si="469"/>
        <v>х</v>
      </c>
      <c r="AG283" s="5" t="str">
        <f>"да"</f>
        <v>да</v>
      </c>
      <c r="AH283" s="5" t="str">
        <f t="shared" si="470"/>
        <v>х</v>
      </c>
      <c r="AI283" s="5" t="str">
        <f t="shared" si="470"/>
        <v>х</v>
      </c>
      <c r="AJ283" s="5" t="str">
        <f t="shared" si="470"/>
        <v>х</v>
      </c>
      <c r="AK283" s="8" t="str">
        <f>"х"</f>
        <v>х</v>
      </c>
      <c r="AL283" s="5" t="str">
        <f>"56,00"</f>
        <v>56,00</v>
      </c>
      <c r="AM283" s="5" t="str">
        <f>"2019"</f>
        <v>2019</v>
      </c>
      <c r="AN283" s="5" t="str">
        <f>"нет"</f>
        <v>нет</v>
      </c>
      <c r="AO283" s="5" t="str">
        <f t="shared" si="461"/>
        <v>х</v>
      </c>
      <c r="AP283" s="5" t="str">
        <f t="shared" si="461"/>
        <v>х</v>
      </c>
      <c r="AQ283" s="5" t="str">
        <f t="shared" si="461"/>
        <v>х</v>
      </c>
      <c r="AR283" s="5" t="str">
        <f>"нет"</f>
        <v>нет</v>
      </c>
      <c r="AS283" s="5" t="str">
        <f t="shared" si="462"/>
        <v>х</v>
      </c>
      <c r="AT283" s="5" t="str">
        <f t="shared" si="462"/>
        <v>х</v>
      </c>
      <c r="AU283" s="5" t="str">
        <f t="shared" si="462"/>
        <v>х</v>
      </c>
      <c r="AV283" s="5" t="str">
        <f t="shared" si="471"/>
        <v>х</v>
      </c>
      <c r="AW283" s="5" t="str">
        <f t="shared" si="471"/>
        <v>х</v>
      </c>
      <c r="AX283" s="5" t="str">
        <f t="shared" si="471"/>
        <v>х</v>
      </c>
      <c r="AY283" s="5" t="str">
        <f t="shared" si="471"/>
        <v>х</v>
      </c>
      <c r="AZ283" s="5" t="str">
        <f t="shared" si="465"/>
        <v>х</v>
      </c>
      <c r="BA283" s="5" t="str">
        <f t="shared" si="465"/>
        <v>х</v>
      </c>
      <c r="BB283" s="5" t="str">
        <f t="shared" si="465"/>
        <v>х</v>
      </c>
      <c r="BC283" s="5" t="str">
        <f>"х"</f>
        <v>х</v>
      </c>
      <c r="BD283" s="5" t="str">
        <f t="shared" si="466"/>
        <v>х</v>
      </c>
      <c r="BE283" s="5" t="str">
        <f t="shared" si="466"/>
        <v>х</v>
      </c>
      <c r="BF283" s="5" t="str">
        <f t="shared" si="466"/>
        <v>х</v>
      </c>
      <c r="BG283" s="5" t="str">
        <f>"х"</f>
        <v>х</v>
      </c>
      <c r="BH283" s="5" t="str">
        <f>"54,00"</f>
        <v>54,00</v>
      </c>
      <c r="BI283" s="5" t="str">
        <f>"2019"</f>
        <v>2019</v>
      </c>
      <c r="BJ283" s="5" t="str">
        <f t="shared" si="450"/>
        <v>нет</v>
      </c>
      <c r="BK283" s="5" t="str">
        <f t="shared" si="463"/>
        <v>х</v>
      </c>
      <c r="BL283" s="5" t="str">
        <f t="shared" si="463"/>
        <v>х</v>
      </c>
      <c r="BM283" s="5" t="str">
        <f t="shared" si="463"/>
        <v>х</v>
      </c>
      <c r="BN283" s="5" t="str">
        <f t="shared" si="451"/>
        <v>нет</v>
      </c>
      <c r="BO283" s="5" t="str">
        <f t="shared" si="464"/>
        <v>х</v>
      </c>
      <c r="BP283" s="5" t="str">
        <f t="shared" si="464"/>
        <v>х</v>
      </c>
      <c r="BQ283" s="5" t="str">
        <f t="shared" si="464"/>
        <v>х</v>
      </c>
      <c r="BR283" s="5" t="str">
        <f>""</f>
        <v/>
      </c>
      <c r="BS283" s="5" t="str">
        <f>"52,00"</f>
        <v>52,00</v>
      </c>
      <c r="BT283" s="5" t="str">
        <f>"2022"</f>
        <v>2022</v>
      </c>
      <c r="BU283" s="5" t="str">
        <f t="shared" si="453"/>
        <v>нет</v>
      </c>
      <c r="BV283" s="5" t="str">
        <f t="shared" si="458"/>
        <v>x</v>
      </c>
      <c r="BW283" s="5" t="str">
        <f t="shared" si="458"/>
        <v>x</v>
      </c>
      <c r="BX283" s="5" t="str">
        <f t="shared" si="458"/>
        <v>x</v>
      </c>
      <c r="BY283" s="5" t="str">
        <f t="shared" si="452"/>
        <v>нет</v>
      </c>
      <c r="BZ283" s="5" t="str">
        <f t="shared" si="472"/>
        <v>x</v>
      </c>
      <c r="CA283" s="5" t="str">
        <f t="shared" si="472"/>
        <v>x</v>
      </c>
      <c r="CB283" s="5" t="str">
        <f t="shared" si="472"/>
        <v>x</v>
      </c>
      <c r="CC283" s="5" t="str">
        <f>""</f>
        <v/>
      </c>
      <c r="CD283" s="5" t="str">
        <f>"56,00"</f>
        <v>56,00</v>
      </c>
      <c r="CE283" s="5" t="str">
        <f>"2021"</f>
        <v>2021</v>
      </c>
      <c r="CF283" s="5" t="str">
        <f>""</f>
        <v/>
      </c>
      <c r="CG283" s="5" t="str">
        <f>"48,00"</f>
        <v>48,00</v>
      </c>
      <c r="CH283" s="5" t="str">
        <f>"2022"</f>
        <v>2022</v>
      </c>
      <c r="CI283" s="5" t="str">
        <f>"0,00"</f>
        <v>0,00</v>
      </c>
      <c r="CJ283" s="5" t="str">
        <f>"2030"</f>
        <v>2030</v>
      </c>
    </row>
    <row r="284" spans="1:88" ht="11.25" customHeight="1">
      <c r="A284" s="3" t="str">
        <f>"1.271"</f>
        <v>1.271</v>
      </c>
      <c r="B284" s="4" t="str">
        <f>"г. Грязовец, ул. Советская, д.59"</f>
        <v>г. Грязовец, ул. Советская, д.59</v>
      </c>
      <c r="C284" s="7" t="str">
        <f>"1995"</f>
        <v>1995</v>
      </c>
      <c r="D284" s="5" t="str">
        <f>"1995"</f>
        <v>1995</v>
      </c>
      <c r="E284" s="5" t="str">
        <f>"12,00"</f>
        <v>12,00</v>
      </c>
      <c r="F284" s="5" t="str">
        <f>"2034"</f>
        <v>2034</v>
      </c>
      <c r="G284" s="5" t="str">
        <f t="shared" si="467"/>
        <v>да</v>
      </c>
      <c r="H284" s="5" t="str">
        <f>""</f>
        <v/>
      </c>
      <c r="I284" s="5" t="str">
        <f>"10,00"</f>
        <v>10,00</v>
      </c>
      <c r="J284" s="5" t="str">
        <f>"2034"</f>
        <v>2034</v>
      </c>
      <c r="K284" s="5" t="str">
        <f t="shared" si="468"/>
        <v>да</v>
      </c>
      <c r="L284" s="5" t="str">
        <f>""</f>
        <v/>
      </c>
      <c r="M284" s="5" t="str">
        <f>"10,00"</f>
        <v>10,00</v>
      </c>
      <c r="N284" s="5" t="str">
        <f>"2034"</f>
        <v>2034</v>
      </c>
      <c r="O284" s="8" t="str">
        <f>"1995"</f>
        <v>1995</v>
      </c>
      <c r="P284" s="5" t="str">
        <f>"22,00"</f>
        <v>22,00</v>
      </c>
      <c r="Q284" s="5" t="str">
        <f>"2026"</f>
        <v>2026</v>
      </c>
      <c r="R284" s="5" t="str">
        <f>"нет"</f>
        <v>нет</v>
      </c>
      <c r="S284" s="5" t="str">
        <f t="shared" ref="S284:U285" si="473">"х"</f>
        <v>х</v>
      </c>
      <c r="T284" s="5" t="str">
        <f t="shared" si="473"/>
        <v>х</v>
      </c>
      <c r="U284" s="5" t="str">
        <f t="shared" si="473"/>
        <v>х</v>
      </c>
      <c r="V284" s="5" t="str">
        <f>"да"</f>
        <v>да</v>
      </c>
      <c r="W284" s="5" t="str">
        <f t="shared" ref="W284:Y285" si="474">"х"</f>
        <v>х</v>
      </c>
      <c r="X284" s="5" t="str">
        <f t="shared" si="474"/>
        <v>х</v>
      </c>
      <c r="Y284" s="9" t="str">
        <f t="shared" si="474"/>
        <v>х</v>
      </c>
      <c r="Z284" s="5" t="str">
        <f>"1995"</f>
        <v>1995</v>
      </c>
      <c r="AA284" s="5" t="str">
        <f>"14,00"</f>
        <v>14,00</v>
      </c>
      <c r="AB284" s="5" t="str">
        <f>"2030"</f>
        <v>2030</v>
      </c>
      <c r="AC284" s="5" t="str">
        <f>"да"</f>
        <v>да</v>
      </c>
      <c r="AD284" s="5" t="str">
        <f>""</f>
        <v/>
      </c>
      <c r="AE284" s="5" t="str">
        <f>"10,00"</f>
        <v>10,00</v>
      </c>
      <c r="AF284" s="5" t="str">
        <f>"2030"</f>
        <v>2030</v>
      </c>
      <c r="AG284" s="5" t="str">
        <f>"да"</f>
        <v>да</v>
      </c>
      <c r="AH284" s="5" t="str">
        <f>""</f>
        <v/>
      </c>
      <c r="AI284" s="5" t="str">
        <f>"10,00"</f>
        <v>10,00</v>
      </c>
      <c r="AJ284" s="5" t="str">
        <f>"2030"</f>
        <v>2030</v>
      </c>
      <c r="AK284" s="8" t="str">
        <f>"1995"</f>
        <v>1995</v>
      </c>
      <c r="AL284" s="5" t="str">
        <f>"28,00"</f>
        <v>28,00</v>
      </c>
      <c r="AM284" s="5" t="str">
        <f>"2026"</f>
        <v>2026</v>
      </c>
      <c r="AN284" s="5" t="str">
        <f>"да"</f>
        <v>да</v>
      </c>
      <c r="AO284" s="5" t="str">
        <f t="shared" si="461"/>
        <v>х</v>
      </c>
      <c r="AP284" s="5" t="str">
        <f t="shared" si="461"/>
        <v>х</v>
      </c>
      <c r="AQ284" s="5" t="str">
        <f t="shared" si="461"/>
        <v>х</v>
      </c>
      <c r="AR284" s="5" t="str">
        <f>"да"</f>
        <v>да</v>
      </c>
      <c r="AS284" s="5" t="str">
        <f t="shared" si="462"/>
        <v>х</v>
      </c>
      <c r="AT284" s="5" t="str">
        <f t="shared" si="462"/>
        <v>х</v>
      </c>
      <c r="AU284" s="5" t="str">
        <f t="shared" si="462"/>
        <v>х</v>
      </c>
      <c r="AV284" s="5" t="str">
        <f t="shared" si="471"/>
        <v>х</v>
      </c>
      <c r="AW284" s="5" t="str">
        <f t="shared" si="471"/>
        <v>х</v>
      </c>
      <c r="AX284" s="5" t="str">
        <f t="shared" si="471"/>
        <v>х</v>
      </c>
      <c r="AY284" s="5" t="str">
        <f t="shared" si="471"/>
        <v>х</v>
      </c>
      <c r="AZ284" s="5" t="str">
        <f t="shared" si="465"/>
        <v>х</v>
      </c>
      <c r="BA284" s="5" t="str">
        <f t="shared" si="465"/>
        <v>х</v>
      </c>
      <c r="BB284" s="5" t="str">
        <f t="shared" si="465"/>
        <v>х</v>
      </c>
      <c r="BC284" s="5" t="str">
        <f>"х"</f>
        <v>х</v>
      </c>
      <c r="BD284" s="5" t="str">
        <f t="shared" si="466"/>
        <v>х</v>
      </c>
      <c r="BE284" s="5" t="str">
        <f t="shared" si="466"/>
        <v>х</v>
      </c>
      <c r="BF284" s="5" t="str">
        <f t="shared" si="466"/>
        <v>х</v>
      </c>
      <c r="BG284" s="5" t="str">
        <f>"1995"</f>
        <v>1995</v>
      </c>
      <c r="BH284" s="5" t="str">
        <f>"22,00"</f>
        <v>22,00</v>
      </c>
      <c r="BI284" s="5" t="str">
        <f>"2026"</f>
        <v>2026</v>
      </c>
      <c r="BJ284" s="5" t="str">
        <f t="shared" si="450"/>
        <v>нет</v>
      </c>
      <c r="BK284" s="5" t="str">
        <f t="shared" si="463"/>
        <v>х</v>
      </c>
      <c r="BL284" s="5" t="str">
        <f t="shared" si="463"/>
        <v>х</v>
      </c>
      <c r="BM284" s="5" t="str">
        <f t="shared" si="463"/>
        <v>х</v>
      </c>
      <c r="BN284" s="5" t="str">
        <f t="shared" si="451"/>
        <v>нет</v>
      </c>
      <c r="BO284" s="5" t="str">
        <f t="shared" si="464"/>
        <v>х</v>
      </c>
      <c r="BP284" s="5" t="str">
        <f t="shared" si="464"/>
        <v>х</v>
      </c>
      <c r="BQ284" s="5" t="str">
        <f t="shared" si="464"/>
        <v>х</v>
      </c>
      <c r="BR284" s="5" t="str">
        <f>"1995"</f>
        <v>1995</v>
      </c>
      <c r="BS284" s="5" t="str">
        <f>"46,00"</f>
        <v>46,00</v>
      </c>
      <c r="BT284" s="5" t="str">
        <f>"2019"</f>
        <v>2019</v>
      </c>
      <c r="BU284" s="5" t="str">
        <f t="shared" si="453"/>
        <v>нет</v>
      </c>
      <c r="BV284" s="5" t="str">
        <f t="shared" si="458"/>
        <v>x</v>
      </c>
      <c r="BW284" s="5" t="str">
        <f t="shared" si="458"/>
        <v>x</v>
      </c>
      <c r="BX284" s="5" t="str">
        <f t="shared" si="458"/>
        <v>x</v>
      </c>
      <c r="BY284" s="5" t="str">
        <f t="shared" si="452"/>
        <v>нет</v>
      </c>
      <c r="BZ284" s="5" t="str">
        <f t="shared" si="472"/>
        <v>x</v>
      </c>
      <c r="CA284" s="5" t="str">
        <f t="shared" si="472"/>
        <v>x</v>
      </c>
      <c r="CB284" s="5" t="str">
        <f t="shared" si="472"/>
        <v>x</v>
      </c>
      <c r="CC284" s="5" t="str">
        <f>"1995"</f>
        <v>1995</v>
      </c>
      <c r="CD284" s="5" t="str">
        <f>"36,00"</f>
        <v>36,00</v>
      </c>
      <c r="CE284" s="5" t="str">
        <f>"2028"</f>
        <v>2028</v>
      </c>
      <c r="CF284" s="5" t="str">
        <f>"1995"</f>
        <v>1995</v>
      </c>
      <c r="CG284" s="5" t="str">
        <f>"42,00"</f>
        <v>42,00</v>
      </c>
      <c r="CH284" s="5" t="str">
        <f>"2028"</f>
        <v>2028</v>
      </c>
      <c r="CI284" s="5" t="str">
        <f>"8,00"</f>
        <v>8,00</v>
      </c>
      <c r="CJ284" s="5" t="str">
        <f>"2044"</f>
        <v>2044</v>
      </c>
    </row>
    <row r="285" spans="1:88" ht="11.25" customHeight="1">
      <c r="A285" s="3" t="str">
        <f>"1.272"</f>
        <v>1.272</v>
      </c>
      <c r="B285" s="4" t="str">
        <f>"г. Грязовец, ул. Советская, д.61"</f>
        <v>г. Грязовец, ул. Советская, д.61</v>
      </c>
      <c r="C285" s="7" t="str">
        <f>"1969"</f>
        <v>1969</v>
      </c>
      <c r="D285" s="5" t="str">
        <f>"1999"</f>
        <v>1999</v>
      </c>
      <c r="E285" s="5" t="str">
        <f>"26,00"</f>
        <v>26,00</v>
      </c>
      <c r="F285" s="5" t="str">
        <f>"2026"</f>
        <v>2026</v>
      </c>
      <c r="G285" s="5" t="str">
        <f t="shared" si="467"/>
        <v>да</v>
      </c>
      <c r="H285" s="5" t="str">
        <f>""</f>
        <v/>
      </c>
      <c r="I285" s="5" t="str">
        <f>"25,00"</f>
        <v>25,00</v>
      </c>
      <c r="J285" s="5" t="str">
        <f>"2026"</f>
        <v>2026</v>
      </c>
      <c r="K285" s="5" t="str">
        <f t="shared" si="468"/>
        <v>да</v>
      </c>
      <c r="L285" s="5" t="str">
        <f>""</f>
        <v/>
      </c>
      <c r="M285" s="5" t="str">
        <f>"25,00"</f>
        <v>25,00</v>
      </c>
      <c r="N285" s="5" t="str">
        <f>"2026"</f>
        <v>2026</v>
      </c>
      <c r="O285" s="8" t="str">
        <f>"1969"</f>
        <v>1969</v>
      </c>
      <c r="P285" s="5" t="str">
        <f>"52,00"</f>
        <v>52,00</v>
      </c>
      <c r="Q285" s="5" t="str">
        <f>"2021"</f>
        <v>2021</v>
      </c>
      <c r="R285" s="5" t="str">
        <f>"нет"</f>
        <v>нет</v>
      </c>
      <c r="S285" s="5" t="str">
        <f t="shared" si="473"/>
        <v>х</v>
      </c>
      <c r="T285" s="5" t="str">
        <f t="shared" si="473"/>
        <v>х</v>
      </c>
      <c r="U285" s="5" t="str">
        <f t="shared" si="473"/>
        <v>х</v>
      </c>
      <c r="V285" s="5" t="str">
        <f>"да"</f>
        <v>да</v>
      </c>
      <c r="W285" s="5" t="str">
        <f t="shared" si="474"/>
        <v>х</v>
      </c>
      <c r="X285" s="5" t="str">
        <f t="shared" si="474"/>
        <v>х</v>
      </c>
      <c r="Y285" s="9" t="str">
        <f t="shared" si="474"/>
        <v>х</v>
      </c>
      <c r="Z285" s="5" t="str">
        <f>"1982"</f>
        <v>1982</v>
      </c>
      <c r="AA285" s="5" t="str">
        <f>"24,00"</f>
        <v>24,00</v>
      </c>
      <c r="AB285" s="5" t="str">
        <f>"2022"</f>
        <v>2022</v>
      </c>
      <c r="AC285" s="5" t="str">
        <f>"да"</f>
        <v>да</v>
      </c>
      <c r="AD285" s="5" t="str">
        <f t="shared" ref="AD285:AF286" si="475">"х"</f>
        <v>х</v>
      </c>
      <c r="AE285" s="5" t="str">
        <f t="shared" si="475"/>
        <v>х</v>
      </c>
      <c r="AF285" s="5" t="str">
        <f t="shared" si="475"/>
        <v>х</v>
      </c>
      <c r="AG285" s="5" t="str">
        <f>"да"</f>
        <v>да</v>
      </c>
      <c r="AH285" s="5" t="str">
        <f t="shared" ref="AH285:AJ286" si="476">"х"</f>
        <v>х</v>
      </c>
      <c r="AI285" s="5" t="str">
        <f t="shared" si="476"/>
        <v>х</v>
      </c>
      <c r="AJ285" s="5" t="str">
        <f t="shared" si="476"/>
        <v>х</v>
      </c>
      <c r="AK285" s="8" t="str">
        <f>"1969"</f>
        <v>1969</v>
      </c>
      <c r="AL285" s="5" t="str">
        <f>"52,00"</f>
        <v>52,00</v>
      </c>
      <c r="AM285" s="5" t="str">
        <f>"2022"</f>
        <v>2022</v>
      </c>
      <c r="AN285" s="5" t="str">
        <f>"нет"</f>
        <v>нет</v>
      </c>
      <c r="AO285" s="5" t="str">
        <f t="shared" si="461"/>
        <v>х</v>
      </c>
      <c r="AP285" s="5" t="str">
        <f t="shared" si="461"/>
        <v>х</v>
      </c>
      <c r="AQ285" s="5" t="str">
        <f t="shared" si="461"/>
        <v>х</v>
      </c>
      <c r="AR285" s="5" t="str">
        <f>"да"</f>
        <v>да</v>
      </c>
      <c r="AS285" s="5" t="str">
        <f t="shared" si="462"/>
        <v>х</v>
      </c>
      <c r="AT285" s="5" t="str">
        <f t="shared" si="462"/>
        <v>х</v>
      </c>
      <c r="AU285" s="5" t="str">
        <f t="shared" si="462"/>
        <v>х</v>
      </c>
      <c r="AV285" s="5" t="str">
        <f t="shared" si="471"/>
        <v>х</v>
      </c>
      <c r="AW285" s="5" t="str">
        <f t="shared" si="471"/>
        <v>х</v>
      </c>
      <c r="AX285" s="5" t="str">
        <f t="shared" si="471"/>
        <v>х</v>
      </c>
      <c r="AY285" s="5" t="str">
        <f t="shared" si="471"/>
        <v>х</v>
      </c>
      <c r="AZ285" s="5" t="str">
        <f t="shared" si="465"/>
        <v>х</v>
      </c>
      <c r="BA285" s="5" t="str">
        <f t="shared" si="465"/>
        <v>х</v>
      </c>
      <c r="BB285" s="5" t="str">
        <f t="shared" si="465"/>
        <v>х</v>
      </c>
      <c r="BC285" s="5" t="str">
        <f>"х"</f>
        <v>х</v>
      </c>
      <c r="BD285" s="5" t="str">
        <f t="shared" si="466"/>
        <v>х</v>
      </c>
      <c r="BE285" s="5" t="str">
        <f t="shared" si="466"/>
        <v>х</v>
      </c>
      <c r="BF285" s="5" t="str">
        <f t="shared" si="466"/>
        <v>х</v>
      </c>
      <c r="BG285" s="5" t="str">
        <f>"1969"</f>
        <v>1969</v>
      </c>
      <c r="BH285" s="5" t="str">
        <f>"48,00"</f>
        <v>48,00</v>
      </c>
      <c r="BI285" s="5" t="str">
        <f>"2024"</f>
        <v>2024</v>
      </c>
      <c r="BJ285" s="5" t="str">
        <f t="shared" si="450"/>
        <v>нет</v>
      </c>
      <c r="BK285" s="5" t="str">
        <f t="shared" si="463"/>
        <v>х</v>
      </c>
      <c r="BL285" s="5" t="str">
        <f t="shared" si="463"/>
        <v>х</v>
      </c>
      <c r="BM285" s="5" t="str">
        <f t="shared" si="463"/>
        <v>х</v>
      </c>
      <c r="BN285" s="5" t="str">
        <f t="shared" si="451"/>
        <v>нет</v>
      </c>
      <c r="BO285" s="5" t="str">
        <f t="shared" si="464"/>
        <v>х</v>
      </c>
      <c r="BP285" s="5" t="str">
        <f t="shared" si="464"/>
        <v>х</v>
      </c>
      <c r="BQ285" s="5" t="str">
        <f t="shared" si="464"/>
        <v>х</v>
      </c>
      <c r="BR285" s="5" t="str">
        <f>"1995"</f>
        <v>1995</v>
      </c>
      <c r="BS285" s="5" t="str">
        <f>"54,00"</f>
        <v>54,00</v>
      </c>
      <c r="BT285" s="5" t="str">
        <f>"2020"</f>
        <v>2020</v>
      </c>
      <c r="BU285" s="5" t="str">
        <f t="shared" si="453"/>
        <v>нет</v>
      </c>
      <c r="BV285" s="5" t="str">
        <f t="shared" si="458"/>
        <v>x</v>
      </c>
      <c r="BW285" s="5" t="str">
        <f t="shared" si="458"/>
        <v>x</v>
      </c>
      <c r="BX285" s="5" t="str">
        <f t="shared" si="458"/>
        <v>x</v>
      </c>
      <c r="BY285" s="5" t="str">
        <f t="shared" si="452"/>
        <v>нет</v>
      </c>
      <c r="BZ285" s="5" t="str">
        <f t="shared" si="472"/>
        <v>x</v>
      </c>
      <c r="CA285" s="5" t="str">
        <f t="shared" si="472"/>
        <v>x</v>
      </c>
      <c r="CB285" s="5" t="str">
        <f t="shared" si="472"/>
        <v>x</v>
      </c>
      <c r="CC285" s="5" t="str">
        <f>"1969"</f>
        <v>1969</v>
      </c>
      <c r="CD285" s="5" t="str">
        <f>"46,00"</f>
        <v>46,00</v>
      </c>
      <c r="CE285" s="5" t="str">
        <f>"2024"</f>
        <v>2024</v>
      </c>
      <c r="CF285" s="5" t="str">
        <f>"1969"</f>
        <v>1969</v>
      </c>
      <c r="CG285" s="5" t="str">
        <f>"41,00"</f>
        <v>41,00</v>
      </c>
      <c r="CH285" s="5" t="str">
        <f>"2021"</f>
        <v>2021</v>
      </c>
      <c r="CI285" s="5" t="str">
        <f>"30,00"</f>
        <v>30,00</v>
      </c>
      <c r="CJ285" s="5" t="str">
        <f>"2030"</f>
        <v>2030</v>
      </c>
    </row>
    <row r="286" spans="1:88" ht="11.25" customHeight="1">
      <c r="A286" s="3" t="str">
        <f>"1.273"</f>
        <v>1.273</v>
      </c>
      <c r="B286" s="4" t="str">
        <f>"г. Грязовец, ул. Советская, д.66"</f>
        <v>г. Грязовец, ул. Советская, д.66</v>
      </c>
      <c r="C286" s="7" t="str">
        <f>"1997"</f>
        <v>1997</v>
      </c>
      <c r="D286" s="5" t="str">
        <f>"1997"</f>
        <v>1997</v>
      </c>
      <c r="E286" s="5" t="str">
        <f>"8,00"</f>
        <v>8,00</v>
      </c>
      <c r="F286" s="5" t="str">
        <f>"2035"</f>
        <v>2035</v>
      </c>
      <c r="G286" s="5" t="str">
        <f>"нет"</f>
        <v>нет</v>
      </c>
      <c r="H286" s="5" t="str">
        <f>""</f>
        <v/>
      </c>
      <c r="I286" s="5" t="str">
        <f>""</f>
        <v/>
      </c>
      <c r="J286" s="5" t="str">
        <f>""</f>
        <v/>
      </c>
      <c r="K286" s="5" t="str">
        <f>"нет"</f>
        <v>нет</v>
      </c>
      <c r="L286" s="5" t="str">
        <f>""</f>
        <v/>
      </c>
      <c r="M286" s="5" t="str">
        <f>""</f>
        <v/>
      </c>
      <c r="N286" s="5" t="str">
        <f>""</f>
        <v/>
      </c>
      <c r="O286" s="8" t="str">
        <f>"1997"</f>
        <v>1997</v>
      </c>
      <c r="P286" s="5" t="str">
        <f>"8,50"</f>
        <v>8,50</v>
      </c>
      <c r="Q286" s="5" t="str">
        <f>"2035"</f>
        <v>2035</v>
      </c>
      <c r="R286" s="5" t="str">
        <f>"нет"</f>
        <v>нет</v>
      </c>
      <c r="S286" s="5" t="str">
        <f>""</f>
        <v/>
      </c>
      <c r="T286" s="5" t="str">
        <f>""</f>
        <v/>
      </c>
      <c r="U286" s="5" t="str">
        <f>""</f>
        <v/>
      </c>
      <c r="V286" s="5" t="str">
        <f>"нет"</f>
        <v>нет</v>
      </c>
      <c r="W286" s="5" t="str">
        <f>""</f>
        <v/>
      </c>
      <c r="X286" s="5" t="str">
        <f>""</f>
        <v/>
      </c>
      <c r="Y286" s="9" t="str">
        <f>""</f>
        <v/>
      </c>
      <c r="Z286" s="5" t="str">
        <f>"1997"</f>
        <v>1997</v>
      </c>
      <c r="AA286" s="5" t="str">
        <f>"11,00"</f>
        <v>11,00</v>
      </c>
      <c r="AB286" s="5" t="str">
        <f>"2036"</f>
        <v>2036</v>
      </c>
      <c r="AC286" s="5" t="str">
        <f>"нет"</f>
        <v>нет</v>
      </c>
      <c r="AD286" s="5" t="str">
        <f t="shared" si="475"/>
        <v>х</v>
      </c>
      <c r="AE286" s="5" t="str">
        <f t="shared" si="475"/>
        <v>х</v>
      </c>
      <c r="AF286" s="5" t="str">
        <f t="shared" si="475"/>
        <v>х</v>
      </c>
      <c r="AG286" s="5" t="str">
        <f>"нет"</f>
        <v>нет</v>
      </c>
      <c r="AH286" s="5" t="str">
        <f t="shared" si="476"/>
        <v>х</v>
      </c>
      <c r="AI286" s="5" t="str">
        <f t="shared" si="476"/>
        <v>х</v>
      </c>
      <c r="AJ286" s="5" t="str">
        <f t="shared" si="476"/>
        <v>х</v>
      </c>
      <c r="AK286" s="8" t="str">
        <f>"1997"</f>
        <v>1997</v>
      </c>
      <c r="AL286" s="5" t="str">
        <f>"10,00"</f>
        <v>10,00</v>
      </c>
      <c r="AM286" s="5" t="str">
        <f>"2037"</f>
        <v>2037</v>
      </c>
      <c r="AN286" s="5" t="str">
        <f>"нет"</f>
        <v>нет</v>
      </c>
      <c r="AO286" s="5" t="str">
        <f t="shared" si="461"/>
        <v>х</v>
      </c>
      <c r="AP286" s="5" t="str">
        <f t="shared" si="461"/>
        <v>х</v>
      </c>
      <c r="AQ286" s="5" t="str">
        <f t="shared" si="461"/>
        <v>х</v>
      </c>
      <c r="AR286" s="5" t="str">
        <f>"нет"</f>
        <v>нет</v>
      </c>
      <c r="AS286" s="5" t="str">
        <f t="shared" si="462"/>
        <v>х</v>
      </c>
      <c r="AT286" s="5" t="str">
        <f t="shared" si="462"/>
        <v>х</v>
      </c>
      <c r="AU286" s="5" t="str">
        <f t="shared" si="462"/>
        <v>х</v>
      </c>
      <c r="AV286" s="5" t="str">
        <f>"1997"</f>
        <v>1997</v>
      </c>
      <c r="AW286" s="5" t="str">
        <f>"6,00"</f>
        <v>6,00</v>
      </c>
      <c r="AX286" s="5" t="str">
        <f>"2038"</f>
        <v>2038</v>
      </c>
      <c r="AY286" s="5" t="str">
        <f>"нет"</f>
        <v>нет</v>
      </c>
      <c r="AZ286" s="5" t="str">
        <f t="shared" si="465"/>
        <v>х</v>
      </c>
      <c r="BA286" s="5" t="str">
        <f t="shared" si="465"/>
        <v>х</v>
      </c>
      <c r="BB286" s="5" t="str">
        <f t="shared" si="465"/>
        <v>х</v>
      </c>
      <c r="BC286" s="5" t="str">
        <f>"нет"</f>
        <v>нет</v>
      </c>
      <c r="BD286" s="5" t="str">
        <f t="shared" si="466"/>
        <v>х</v>
      </c>
      <c r="BE286" s="5" t="str">
        <f t="shared" si="466"/>
        <v>х</v>
      </c>
      <c r="BF286" s="5" t="str">
        <f t="shared" si="466"/>
        <v>х</v>
      </c>
      <c r="BG286" s="5" t="str">
        <f>"1997"</f>
        <v>1997</v>
      </c>
      <c r="BH286" s="5" t="str">
        <f>"13,00"</f>
        <v>13,00</v>
      </c>
      <c r="BI286" s="5" t="str">
        <f>"2038"</f>
        <v>2038</v>
      </c>
      <c r="BJ286" s="5" t="str">
        <f t="shared" si="450"/>
        <v>нет</v>
      </c>
      <c r="BK286" s="5" t="str">
        <f t="shared" si="463"/>
        <v>х</v>
      </c>
      <c r="BL286" s="5" t="str">
        <f t="shared" si="463"/>
        <v>х</v>
      </c>
      <c r="BM286" s="5" t="str">
        <f t="shared" si="463"/>
        <v>х</v>
      </c>
      <c r="BN286" s="5" t="str">
        <f t="shared" si="451"/>
        <v>нет</v>
      </c>
      <c r="BO286" s="5" t="str">
        <f t="shared" si="464"/>
        <v>х</v>
      </c>
      <c r="BP286" s="5" t="str">
        <f t="shared" si="464"/>
        <v>х</v>
      </c>
      <c r="BQ286" s="5" t="str">
        <f t="shared" si="464"/>
        <v>х</v>
      </c>
      <c r="BR286" s="5" t="str">
        <f>"1997"</f>
        <v>1997</v>
      </c>
      <c r="BS286" s="5" t="str">
        <f>"12,00"</f>
        <v>12,00</v>
      </c>
      <c r="BT286" s="5" t="str">
        <f>"2026"</f>
        <v>2026</v>
      </c>
      <c r="BU286" s="5" t="str">
        <f t="shared" si="453"/>
        <v>нет</v>
      </c>
      <c r="BV286" s="5" t="str">
        <f t="shared" si="458"/>
        <v>x</v>
      </c>
      <c r="BW286" s="5" t="str">
        <f t="shared" si="458"/>
        <v>x</v>
      </c>
      <c r="BX286" s="5" t="str">
        <f t="shared" si="458"/>
        <v>x</v>
      </c>
      <c r="BY286" s="5" t="str">
        <f t="shared" si="452"/>
        <v>нет</v>
      </c>
      <c r="BZ286" s="5" t="str">
        <f>"1997"</f>
        <v>1997</v>
      </c>
      <c r="CA286" s="5" t="str">
        <f>"13,00"</f>
        <v>13,00</v>
      </c>
      <c r="CB286" s="5" t="str">
        <f>"2035"</f>
        <v>2035</v>
      </c>
      <c r="CC286" s="5" t="str">
        <f>"1977"</f>
        <v>1977</v>
      </c>
      <c r="CD286" s="5" t="str">
        <f>"12,00"</f>
        <v>12,00</v>
      </c>
      <c r="CE286" s="5" t="str">
        <f>"2035"</f>
        <v>2035</v>
      </c>
      <c r="CF286" s="5" t="str">
        <f>"1977"</f>
        <v>1977</v>
      </c>
      <c r="CG286" s="5" t="str">
        <f>"12,00"</f>
        <v>12,00</v>
      </c>
      <c r="CH286" s="5" t="str">
        <f>"2032"</f>
        <v>2032</v>
      </c>
      <c r="CI286" s="5" t="str">
        <f>"12,00"</f>
        <v>12,00</v>
      </c>
      <c r="CJ286" s="5" t="str">
        <f>"2044"</f>
        <v>2044</v>
      </c>
    </row>
    <row r="287" spans="1:88" ht="11.25" customHeight="1">
      <c r="A287" s="3" t="str">
        <f>"1.274"</f>
        <v>1.274</v>
      </c>
      <c r="B287" s="4" t="str">
        <f>"г. Грязовец, ул. Советская, д.69"</f>
        <v>г. Грязовец, ул. Советская, д.69</v>
      </c>
      <c r="C287" s="7" t="str">
        <f>"1990"</f>
        <v>1990</v>
      </c>
      <c r="D287" s="5" t="str">
        <f>""</f>
        <v/>
      </c>
      <c r="E287" s="5" t="str">
        <f>"44,00"</f>
        <v>44,00</v>
      </c>
      <c r="F287" s="5" t="str">
        <f>"2020"</f>
        <v>2020</v>
      </c>
      <c r="G287" s="5" t="str">
        <f>"нет"</f>
        <v>нет</v>
      </c>
      <c r="H287" s="5" t="str">
        <f>""</f>
        <v/>
      </c>
      <c r="I287" s="5" t="str">
        <f>""</f>
        <v/>
      </c>
      <c r="J287" s="5" t="str">
        <f>""</f>
        <v/>
      </c>
      <c r="K287" s="5" t="str">
        <f>"нет"</f>
        <v>нет</v>
      </c>
      <c r="L287" s="5" t="str">
        <f>""</f>
        <v/>
      </c>
      <c r="M287" s="5" t="str">
        <f>""</f>
        <v/>
      </c>
      <c r="N287" s="5" t="str">
        <f>""</f>
        <v/>
      </c>
      <c r="O287" s="8" t="str">
        <f>""</f>
        <v/>
      </c>
      <c r="P287" s="5" t="str">
        <f>"49,00"</f>
        <v>49,00</v>
      </c>
      <c r="Q287" s="5" t="str">
        <f>"2020"</f>
        <v>2020</v>
      </c>
      <c r="R287" s="5" t="str">
        <f>"нет"</f>
        <v>нет</v>
      </c>
      <c r="S287" s="5" t="str">
        <f>""</f>
        <v/>
      </c>
      <c r="T287" s="5" t="str">
        <f>""</f>
        <v/>
      </c>
      <c r="U287" s="5" t="str">
        <f>""</f>
        <v/>
      </c>
      <c r="V287" s="5" t="str">
        <f>"нет"</f>
        <v>нет</v>
      </c>
      <c r="W287" s="5" t="str">
        <f>""</f>
        <v/>
      </c>
      <c r="X287" s="5" t="str">
        <f>""</f>
        <v/>
      </c>
      <c r="Y287" s="9" t="str">
        <f>""</f>
        <v/>
      </c>
      <c r="Z287" s="5" t="str">
        <f>""</f>
        <v/>
      </c>
      <c r="AA287" s="5" t="str">
        <f>"12,00"</f>
        <v>12,00</v>
      </c>
      <c r="AB287" s="5" t="str">
        <f>"2020"</f>
        <v>2020</v>
      </c>
      <c r="AC287" s="5" t="str">
        <f>"нет"</f>
        <v>нет</v>
      </c>
      <c r="AD287" s="5" t="str">
        <f>""</f>
        <v/>
      </c>
      <c r="AE287" s="5" t="str">
        <f>""</f>
        <v/>
      </c>
      <c r="AF287" s="5" t="str">
        <f>""</f>
        <v/>
      </c>
      <c r="AG287" s="5" t="str">
        <f>"да"</f>
        <v>да</v>
      </c>
      <c r="AH287" s="5" t="str">
        <f>""</f>
        <v/>
      </c>
      <c r="AI287" s="5" t="str">
        <f>"10,00"</f>
        <v>10,00</v>
      </c>
      <c r="AJ287" s="5" t="str">
        <f>"2030"</f>
        <v>2030</v>
      </c>
      <c r="AK287" s="8" t="str">
        <f>""</f>
        <v/>
      </c>
      <c r="AL287" s="5" t="str">
        <f>"48,00"</f>
        <v>48,00</v>
      </c>
      <c r="AM287" s="5" t="str">
        <f>"2020"</f>
        <v>2020</v>
      </c>
      <c r="AN287" s="5" t="str">
        <f>"нет"</f>
        <v>нет</v>
      </c>
      <c r="AO287" s="5" t="str">
        <f>""</f>
        <v/>
      </c>
      <c r="AP287" s="5" t="str">
        <f>""</f>
        <v/>
      </c>
      <c r="AQ287" s="5" t="str">
        <f>""</f>
        <v/>
      </c>
      <c r="AR287" s="5" t="str">
        <f>"нет"</f>
        <v>нет</v>
      </c>
      <c r="AS287" s="5" t="str">
        <f>""</f>
        <v/>
      </c>
      <c r="AT287" s="5" t="str">
        <f>""</f>
        <v/>
      </c>
      <c r="AU287" s="5" t="str">
        <f>""</f>
        <v/>
      </c>
      <c r="AV287" s="5" t="str">
        <f t="shared" ref="AV287:AX289" si="477">"х"</f>
        <v>х</v>
      </c>
      <c r="AW287" s="5" t="str">
        <f t="shared" si="477"/>
        <v>х</v>
      </c>
      <c r="AX287" s="5" t="str">
        <f t="shared" si="477"/>
        <v>х</v>
      </c>
      <c r="AY287" s="5" t="str">
        <f>"нет"</f>
        <v>нет</v>
      </c>
      <c r="AZ287" s="5" t="str">
        <f t="shared" si="465"/>
        <v>х</v>
      </c>
      <c r="BA287" s="5" t="str">
        <f t="shared" si="465"/>
        <v>х</v>
      </c>
      <c r="BB287" s="5" t="str">
        <f t="shared" si="465"/>
        <v>х</v>
      </c>
      <c r="BC287" s="5" t="str">
        <f>"нет"</f>
        <v>нет</v>
      </c>
      <c r="BD287" s="5" t="str">
        <f t="shared" si="466"/>
        <v>х</v>
      </c>
      <c r="BE287" s="5" t="str">
        <f t="shared" si="466"/>
        <v>х</v>
      </c>
      <c r="BF287" s="5" t="str">
        <f t="shared" si="466"/>
        <v>х</v>
      </c>
      <c r="BG287" s="5" t="str">
        <f>""</f>
        <v/>
      </c>
      <c r="BH287" s="5" t="str">
        <f>"48,00"</f>
        <v>48,00</v>
      </c>
      <c r="BI287" s="5" t="str">
        <f>"2018"</f>
        <v>2018</v>
      </c>
      <c r="BJ287" s="5" t="str">
        <f t="shared" si="450"/>
        <v>нет</v>
      </c>
      <c r="BK287" s="5" t="str">
        <f>""</f>
        <v/>
      </c>
      <c r="BL287" s="5" t="str">
        <f>""</f>
        <v/>
      </c>
      <c r="BM287" s="5" t="str">
        <f>""</f>
        <v/>
      </c>
      <c r="BN287" s="5" t="str">
        <f t="shared" si="451"/>
        <v>нет</v>
      </c>
      <c r="BO287" s="5" t="str">
        <f>""</f>
        <v/>
      </c>
      <c r="BP287" s="5" t="str">
        <f>""</f>
        <v/>
      </c>
      <c r="BQ287" s="5" t="str">
        <f>""</f>
        <v/>
      </c>
      <c r="BR287" s="5" t="str">
        <f>"1990"</f>
        <v>1990</v>
      </c>
      <c r="BS287" s="5" t="str">
        <f>"30,00"</f>
        <v>30,00</v>
      </c>
      <c r="BT287" s="5" t="str">
        <f>"2019"</f>
        <v>2019</v>
      </c>
      <c r="BU287" s="5" t="str">
        <f t="shared" si="453"/>
        <v>нет</v>
      </c>
      <c r="BV287" s="5" t="str">
        <f t="shared" si="458"/>
        <v>x</v>
      </c>
      <c r="BW287" s="5" t="str">
        <f t="shared" si="458"/>
        <v>x</v>
      </c>
      <c r="BX287" s="5" t="str">
        <f t="shared" si="458"/>
        <v>x</v>
      </c>
      <c r="BY287" s="5" t="str">
        <f t="shared" si="452"/>
        <v>нет</v>
      </c>
      <c r="BZ287" s="5" t="str">
        <f>"x"</f>
        <v>x</v>
      </c>
      <c r="CA287" s="5" t="str">
        <f>"24,00"</f>
        <v>24,00</v>
      </c>
      <c r="CB287" s="5" t="str">
        <f>"2020"</f>
        <v>2020</v>
      </c>
      <c r="CC287" s="5" t="str">
        <f>""</f>
        <v/>
      </c>
      <c r="CD287" s="5" t="str">
        <f>"16,00"</f>
        <v>16,00</v>
      </c>
      <c r="CE287" s="5" t="str">
        <f>"2025"</f>
        <v>2025</v>
      </c>
      <c r="CF287" s="5" t="str">
        <f>""</f>
        <v/>
      </c>
      <c r="CG287" s="5" t="str">
        <f>"8,00"</f>
        <v>8,00</v>
      </c>
      <c r="CH287" s="5" t="str">
        <f>"2025"</f>
        <v>2025</v>
      </c>
      <c r="CI287" s="5" t="str">
        <f>"16,00"</f>
        <v>16,00</v>
      </c>
      <c r="CJ287" s="5" t="str">
        <f>"2030"</f>
        <v>2030</v>
      </c>
    </row>
    <row r="288" spans="1:88" ht="11.25" customHeight="1">
      <c r="A288" s="3" t="str">
        <f>"1.275"</f>
        <v>1.275</v>
      </c>
      <c r="B288" s="4" t="str">
        <f>"г. Грязовец, ул. Советская, д.77"</f>
        <v>г. Грязовец, ул. Советская, д.77</v>
      </c>
      <c r="C288" s="7" t="str">
        <f>"1894"</f>
        <v>1894</v>
      </c>
      <c r="D288" s="5" t="str">
        <f>"1996"</f>
        <v>1996</v>
      </c>
      <c r="E288" s="5" t="str">
        <f>"84,00"</f>
        <v>84,00</v>
      </c>
      <c r="F288" s="5" t="str">
        <f>"2019"</f>
        <v>2019</v>
      </c>
      <c r="G288" s="5" t="str">
        <f>"да"</f>
        <v>да</v>
      </c>
      <c r="H288" s="5" t="str">
        <f>""</f>
        <v/>
      </c>
      <c r="I288" s="5" t="str">
        <f>"80,00"</f>
        <v>80,00</v>
      </c>
      <c r="J288" s="5" t="str">
        <f>"2019"</f>
        <v>2019</v>
      </c>
      <c r="K288" s="5" t="str">
        <f>"да"</f>
        <v>да</v>
      </c>
      <c r="L288" s="5" t="str">
        <f>""</f>
        <v/>
      </c>
      <c r="M288" s="5" t="str">
        <f>"80,00"</f>
        <v>80,00</v>
      </c>
      <c r="N288" s="5" t="str">
        <f>"2019"</f>
        <v>2019</v>
      </c>
      <c r="O288" s="8" t="str">
        <f t="shared" ref="O288:AU288" si="478">"х"</f>
        <v>х</v>
      </c>
      <c r="P288" s="5" t="str">
        <f t="shared" si="478"/>
        <v>х</v>
      </c>
      <c r="Q288" s="5" t="str">
        <f t="shared" si="478"/>
        <v>х</v>
      </c>
      <c r="R288" s="5" t="str">
        <f t="shared" si="478"/>
        <v>х</v>
      </c>
      <c r="S288" s="5" t="str">
        <f t="shared" si="478"/>
        <v>х</v>
      </c>
      <c r="T288" s="5" t="str">
        <f t="shared" si="478"/>
        <v>х</v>
      </c>
      <c r="U288" s="5" t="str">
        <f t="shared" si="478"/>
        <v>х</v>
      </c>
      <c r="V288" s="5" t="str">
        <f t="shared" si="478"/>
        <v>х</v>
      </c>
      <c r="W288" s="5" t="str">
        <f t="shared" si="478"/>
        <v>х</v>
      </c>
      <c r="X288" s="5" t="str">
        <f t="shared" si="478"/>
        <v>х</v>
      </c>
      <c r="Y288" s="9" t="str">
        <f t="shared" si="478"/>
        <v>х</v>
      </c>
      <c r="Z288" s="5" t="str">
        <f t="shared" si="478"/>
        <v>х</v>
      </c>
      <c r="AA288" s="5" t="str">
        <f t="shared" si="478"/>
        <v>х</v>
      </c>
      <c r="AB288" s="5" t="str">
        <f t="shared" si="478"/>
        <v>х</v>
      </c>
      <c r="AC288" s="5" t="str">
        <f t="shared" si="478"/>
        <v>х</v>
      </c>
      <c r="AD288" s="5" t="str">
        <f t="shared" si="478"/>
        <v>х</v>
      </c>
      <c r="AE288" s="5" t="str">
        <f t="shared" si="478"/>
        <v>х</v>
      </c>
      <c r="AF288" s="5" t="str">
        <f t="shared" si="478"/>
        <v>х</v>
      </c>
      <c r="AG288" s="5" t="str">
        <f t="shared" si="478"/>
        <v>х</v>
      </c>
      <c r="AH288" s="5" t="str">
        <f t="shared" si="478"/>
        <v>х</v>
      </c>
      <c r="AI288" s="5" t="str">
        <f t="shared" si="478"/>
        <v>х</v>
      </c>
      <c r="AJ288" s="5" t="str">
        <f t="shared" si="478"/>
        <v>х</v>
      </c>
      <c r="AK288" s="8" t="str">
        <f t="shared" si="478"/>
        <v>х</v>
      </c>
      <c r="AL288" s="5" t="str">
        <f t="shared" si="478"/>
        <v>х</v>
      </c>
      <c r="AM288" s="5" t="str">
        <f t="shared" si="478"/>
        <v>х</v>
      </c>
      <c r="AN288" s="5" t="str">
        <f t="shared" si="478"/>
        <v>х</v>
      </c>
      <c r="AO288" s="5" t="str">
        <f t="shared" si="478"/>
        <v>х</v>
      </c>
      <c r="AP288" s="5" t="str">
        <f t="shared" si="478"/>
        <v>х</v>
      </c>
      <c r="AQ288" s="5" t="str">
        <f t="shared" si="478"/>
        <v>х</v>
      </c>
      <c r="AR288" s="5" t="str">
        <f t="shared" si="478"/>
        <v>х</v>
      </c>
      <c r="AS288" s="5" t="str">
        <f t="shared" si="478"/>
        <v>х</v>
      </c>
      <c r="AT288" s="5" t="str">
        <f t="shared" si="478"/>
        <v>х</v>
      </c>
      <c r="AU288" s="5" t="str">
        <f t="shared" si="478"/>
        <v>х</v>
      </c>
      <c r="AV288" s="5" t="str">
        <f t="shared" si="477"/>
        <v>х</v>
      </c>
      <c r="AW288" s="5" t="str">
        <f t="shared" si="477"/>
        <v>х</v>
      </c>
      <c r="AX288" s="5" t="str">
        <f t="shared" si="477"/>
        <v>х</v>
      </c>
      <c r="AY288" s="5" t="str">
        <f>"х"</f>
        <v>х</v>
      </c>
      <c r="AZ288" s="5" t="str">
        <f t="shared" si="465"/>
        <v>х</v>
      </c>
      <c r="BA288" s="5" t="str">
        <f t="shared" si="465"/>
        <v>х</v>
      </c>
      <c r="BB288" s="5" t="str">
        <f t="shared" si="465"/>
        <v>х</v>
      </c>
      <c r="BC288" s="5" t="str">
        <f>"х"</f>
        <v>х</v>
      </c>
      <c r="BD288" s="5" t="str">
        <f t="shared" si="466"/>
        <v>х</v>
      </c>
      <c r="BE288" s="5" t="str">
        <f t="shared" si="466"/>
        <v>х</v>
      </c>
      <c r="BF288" s="5" t="str">
        <f t="shared" si="466"/>
        <v>х</v>
      </c>
      <c r="BG288" s="5" t="str">
        <f t="shared" ref="BG288:BQ288" si="479">"х"</f>
        <v>х</v>
      </c>
      <c r="BH288" s="5" t="str">
        <f t="shared" si="479"/>
        <v>х</v>
      </c>
      <c r="BI288" s="5" t="str">
        <f t="shared" si="479"/>
        <v>х</v>
      </c>
      <c r="BJ288" s="5" t="str">
        <f t="shared" si="479"/>
        <v>х</v>
      </c>
      <c r="BK288" s="5" t="str">
        <f t="shared" si="479"/>
        <v>х</v>
      </c>
      <c r="BL288" s="5" t="str">
        <f t="shared" si="479"/>
        <v>х</v>
      </c>
      <c r="BM288" s="5" t="str">
        <f t="shared" si="479"/>
        <v>х</v>
      </c>
      <c r="BN288" s="5" t="str">
        <f t="shared" si="479"/>
        <v>х</v>
      </c>
      <c r="BO288" s="5" t="str">
        <f t="shared" si="479"/>
        <v>х</v>
      </c>
      <c r="BP288" s="5" t="str">
        <f t="shared" si="479"/>
        <v>х</v>
      </c>
      <c r="BQ288" s="5" t="str">
        <f t="shared" si="479"/>
        <v>х</v>
      </c>
      <c r="BR288" s="5" t="str">
        <f>""</f>
        <v/>
      </c>
      <c r="BS288" s="5" t="str">
        <f>"84,00"</f>
        <v>84,00</v>
      </c>
      <c r="BT288" s="5" t="str">
        <f>"2018"</f>
        <v>2018</v>
      </c>
      <c r="BU288" s="5" t="str">
        <f t="shared" si="453"/>
        <v>нет</v>
      </c>
      <c r="BV288" s="5" t="str">
        <f t="shared" si="458"/>
        <v>x</v>
      </c>
      <c r="BW288" s="5" t="str">
        <f t="shared" si="458"/>
        <v>x</v>
      </c>
      <c r="BX288" s="5" t="str">
        <f t="shared" si="458"/>
        <v>x</v>
      </c>
      <c r="BY288" s="5" t="str">
        <f t="shared" si="452"/>
        <v>нет</v>
      </c>
      <c r="BZ288" s="5" t="str">
        <f>"x"</f>
        <v>x</v>
      </c>
      <c r="CA288" s="5" t="str">
        <f>"x"</f>
        <v>x</v>
      </c>
      <c r="CB288" s="5" t="str">
        <f>"x"</f>
        <v>x</v>
      </c>
      <c r="CC288" s="5" t="str">
        <f>""</f>
        <v/>
      </c>
      <c r="CD288" s="5" t="str">
        <f>"40,00"</f>
        <v>40,00</v>
      </c>
      <c r="CE288" s="5" t="str">
        <f>"2020"</f>
        <v>2020</v>
      </c>
      <c r="CF288" s="5" t="str">
        <f>""</f>
        <v/>
      </c>
      <c r="CG288" s="5" t="str">
        <f>"35,00"</f>
        <v>35,00</v>
      </c>
      <c r="CH288" s="5" t="str">
        <f>"2020"</f>
        <v>2020</v>
      </c>
      <c r="CI288" s="5" t="str">
        <f>"63,00"</f>
        <v>63,00</v>
      </c>
      <c r="CJ288" s="5" t="str">
        <f>"2020"</f>
        <v>2020</v>
      </c>
    </row>
    <row r="289" spans="1:88" ht="11.25" customHeight="1">
      <c r="A289" s="3" t="str">
        <f>"1.276"</f>
        <v>1.276</v>
      </c>
      <c r="B289" s="4" t="str">
        <f>"г. Грязовец, ул. Советская, д.78"</f>
        <v>г. Грязовец, ул. Советская, д.78</v>
      </c>
      <c r="C289" s="7" t="str">
        <f>"1980"</f>
        <v>1980</v>
      </c>
      <c r="D289" s="5" t="str">
        <f>"2005"</f>
        <v>2005</v>
      </c>
      <c r="E289" s="5" t="str">
        <f>"21,00"</f>
        <v>21,00</v>
      </c>
      <c r="F289" s="5" t="str">
        <f>"2030"</f>
        <v>2030</v>
      </c>
      <c r="G289" s="5" t="str">
        <f>"да"</f>
        <v>да</v>
      </c>
      <c r="H289" s="5" t="str">
        <f>""</f>
        <v/>
      </c>
      <c r="I289" s="5" t="str">
        <f>"20,00"</f>
        <v>20,00</v>
      </c>
      <c r="J289" s="5" t="str">
        <f>"2030"</f>
        <v>2030</v>
      </c>
      <c r="K289" s="5" t="str">
        <f>"да"</f>
        <v>да</v>
      </c>
      <c r="L289" s="5" t="str">
        <f>""</f>
        <v/>
      </c>
      <c r="M289" s="5" t="str">
        <f>"20,00"</f>
        <v>20,00</v>
      </c>
      <c r="N289" s="5" t="str">
        <f>"2030"</f>
        <v>2030</v>
      </c>
      <c r="O289" s="8" t="str">
        <f>"2005"</f>
        <v>2005</v>
      </c>
      <c r="P289" s="5" t="str">
        <f>"20,00"</f>
        <v>20,00</v>
      </c>
      <c r="Q289" s="5" t="str">
        <f>"2030"</f>
        <v>2030</v>
      </c>
      <c r="R289" s="5" t="str">
        <f>"да"</f>
        <v>да</v>
      </c>
      <c r="S289" s="5" t="str">
        <f>"х"</f>
        <v>х</v>
      </c>
      <c r="T289" s="5" t="str">
        <f>"х"</f>
        <v>х</v>
      </c>
      <c r="U289" s="5" t="str">
        <f>"х"</f>
        <v>х</v>
      </c>
      <c r="V289" s="5" t="str">
        <f>"да"</f>
        <v>да</v>
      </c>
      <c r="W289" s="5" t="str">
        <f>"х"</f>
        <v>х</v>
      </c>
      <c r="X289" s="5" t="str">
        <f>"х"</f>
        <v>х</v>
      </c>
      <c r="Y289" s="9" t="str">
        <f>"х"</f>
        <v>х</v>
      </c>
      <c r="Z289" s="5" t="str">
        <f>"2005"</f>
        <v>2005</v>
      </c>
      <c r="AA289" s="5" t="str">
        <f>"14,00"</f>
        <v>14,00</v>
      </c>
      <c r="AB289" s="5" t="str">
        <f>"2025"</f>
        <v>2025</v>
      </c>
      <c r="AC289" s="5" t="str">
        <f>"да"</f>
        <v>да</v>
      </c>
      <c r="AD289" s="5" t="str">
        <f t="shared" ref="AD289:AF290" si="480">"х"</f>
        <v>х</v>
      </c>
      <c r="AE289" s="5" t="str">
        <f t="shared" si="480"/>
        <v>х</v>
      </c>
      <c r="AF289" s="5" t="str">
        <f t="shared" si="480"/>
        <v>х</v>
      </c>
      <c r="AG289" s="5" t="str">
        <f>"да"</f>
        <v>да</v>
      </c>
      <c r="AH289" s="5" t="str">
        <f t="shared" ref="AH289:AJ290" si="481">"х"</f>
        <v>х</v>
      </c>
      <c r="AI289" s="5" t="str">
        <f t="shared" si="481"/>
        <v>х</v>
      </c>
      <c r="AJ289" s="5" t="str">
        <f t="shared" si="481"/>
        <v>х</v>
      </c>
      <c r="AK289" s="8" t="str">
        <f>"2005"</f>
        <v>2005</v>
      </c>
      <c r="AL289" s="5" t="str">
        <f>"22,00"</f>
        <v>22,00</v>
      </c>
      <c r="AM289" s="5" t="str">
        <f>"2024"</f>
        <v>2024</v>
      </c>
      <c r="AN289" s="5" t="str">
        <f t="shared" ref="AN289:AN296" si="482">"нет"</f>
        <v>нет</v>
      </c>
      <c r="AO289" s="5" t="str">
        <f t="shared" ref="AO289:AQ291" si="483">"х"</f>
        <v>х</v>
      </c>
      <c r="AP289" s="5" t="str">
        <f t="shared" si="483"/>
        <v>х</v>
      </c>
      <c r="AQ289" s="5" t="str">
        <f t="shared" si="483"/>
        <v>х</v>
      </c>
      <c r="AR289" s="5" t="str">
        <f>"да"</f>
        <v>да</v>
      </c>
      <c r="AS289" s="5" t="str">
        <f t="shared" ref="AS289:AU291" si="484">"х"</f>
        <v>х</v>
      </c>
      <c r="AT289" s="5" t="str">
        <f t="shared" si="484"/>
        <v>х</v>
      </c>
      <c r="AU289" s="5" t="str">
        <f t="shared" si="484"/>
        <v>х</v>
      </c>
      <c r="AV289" s="5" t="str">
        <f t="shared" si="477"/>
        <v>х</v>
      </c>
      <c r="AW289" s="5" t="str">
        <f t="shared" si="477"/>
        <v>х</v>
      </c>
      <c r="AX289" s="5" t="str">
        <f t="shared" si="477"/>
        <v>х</v>
      </c>
      <c r="AY289" s="5" t="str">
        <f t="shared" ref="AY289:AY297" si="485">"нет"</f>
        <v>нет</v>
      </c>
      <c r="AZ289" s="5" t="str">
        <f t="shared" si="465"/>
        <v>х</v>
      </c>
      <c r="BA289" s="5" t="str">
        <f t="shared" si="465"/>
        <v>х</v>
      </c>
      <c r="BB289" s="5" t="str">
        <f t="shared" si="465"/>
        <v>х</v>
      </c>
      <c r="BC289" s="5" t="str">
        <f t="shared" ref="BC289:BC297" si="486">"нет"</f>
        <v>нет</v>
      </c>
      <c r="BD289" s="5" t="str">
        <f t="shared" si="466"/>
        <v>х</v>
      </c>
      <c r="BE289" s="5" t="str">
        <f t="shared" si="466"/>
        <v>х</v>
      </c>
      <c r="BF289" s="5" t="str">
        <f t="shared" si="466"/>
        <v>х</v>
      </c>
      <c r="BG289" s="5" t="str">
        <f>"2005"</f>
        <v>2005</v>
      </c>
      <c r="BH289" s="5" t="str">
        <f>"26,00"</f>
        <v>26,00</v>
      </c>
      <c r="BI289" s="5" t="str">
        <f>"2024"</f>
        <v>2024</v>
      </c>
      <c r="BJ289" s="5" t="str">
        <f t="shared" ref="BJ289:BJ297" si="487">"нет"</f>
        <v>нет</v>
      </c>
      <c r="BK289" s="5" t="str">
        <f t="shared" ref="BK289:BM291" si="488">"х"</f>
        <v>х</v>
      </c>
      <c r="BL289" s="5" t="str">
        <f t="shared" si="488"/>
        <v>х</v>
      </c>
      <c r="BM289" s="5" t="str">
        <f t="shared" si="488"/>
        <v>х</v>
      </c>
      <c r="BN289" s="5" t="str">
        <f t="shared" ref="BN289:BN297" si="489">"нет"</f>
        <v>нет</v>
      </c>
      <c r="BO289" s="5" t="str">
        <f t="shared" ref="BO289:BQ291" si="490">"х"</f>
        <v>х</v>
      </c>
      <c r="BP289" s="5" t="str">
        <f t="shared" si="490"/>
        <v>х</v>
      </c>
      <c r="BQ289" s="5" t="str">
        <f t="shared" si="490"/>
        <v>х</v>
      </c>
      <c r="BR289" s="5" t="str">
        <f>"2005"</f>
        <v>2005</v>
      </c>
      <c r="BS289" s="5" t="str">
        <f>"32,00"</f>
        <v>32,00</v>
      </c>
      <c r="BT289" s="5" t="str">
        <f>"2026"</f>
        <v>2026</v>
      </c>
      <c r="BU289" s="5" t="str">
        <f t="shared" si="453"/>
        <v>нет</v>
      </c>
      <c r="BV289" s="5" t="str">
        <f t="shared" si="458"/>
        <v>x</v>
      </c>
      <c r="BW289" s="5" t="str">
        <f t="shared" si="458"/>
        <v>x</v>
      </c>
      <c r="BX289" s="5" t="str">
        <f t="shared" si="458"/>
        <v>x</v>
      </c>
      <c r="BY289" s="5" t="str">
        <f t="shared" si="452"/>
        <v>нет</v>
      </c>
      <c r="BZ289" s="5" t="str">
        <f>"x"</f>
        <v>x</v>
      </c>
      <c r="CA289" s="5" t="str">
        <f>"x"</f>
        <v>x</v>
      </c>
      <c r="CB289" s="5" t="str">
        <f>"x"</f>
        <v>x</v>
      </c>
      <c r="CC289" s="5" t="str">
        <f>"2005"</f>
        <v>2005</v>
      </c>
      <c r="CD289" s="5" t="str">
        <f>"15,00"</f>
        <v>15,00</v>
      </c>
      <c r="CE289" s="5" t="str">
        <f>"2030"</f>
        <v>2030</v>
      </c>
      <c r="CF289" s="5" t="str">
        <f>"2005"</f>
        <v>2005</v>
      </c>
      <c r="CG289" s="5" t="str">
        <f>"16,00"</f>
        <v>16,00</v>
      </c>
      <c r="CH289" s="5" t="str">
        <f>"2026"</f>
        <v>2026</v>
      </c>
      <c r="CI289" s="5" t="str">
        <f>"36,00"</f>
        <v>36,00</v>
      </c>
      <c r="CJ289" s="5" t="str">
        <f>"2035"</f>
        <v>2035</v>
      </c>
    </row>
    <row r="290" spans="1:88" ht="11.25" customHeight="1">
      <c r="A290" s="3" t="str">
        <f>"1.277"</f>
        <v>1.277</v>
      </c>
      <c r="B290" s="4" t="str">
        <f>"г. Грязовец, ул. Советская, д.83"</f>
        <v>г. Грязовец, ул. Советская, д.83</v>
      </c>
      <c r="C290" s="7" t="str">
        <f>"1917"</f>
        <v>1917</v>
      </c>
      <c r="D290" s="5" t="str">
        <f>"1917"</f>
        <v>1917</v>
      </c>
      <c r="E290" s="5" t="str">
        <f>"58,00"</f>
        <v>58,00</v>
      </c>
      <c r="F290" s="5" t="str">
        <f>"2020"</f>
        <v>2020</v>
      </c>
      <c r="G290" s="5" t="str">
        <f>"нет"</f>
        <v>нет</v>
      </c>
      <c r="H290" s="5" t="str">
        <f>""</f>
        <v/>
      </c>
      <c r="I290" s="5" t="str">
        <f>""</f>
        <v/>
      </c>
      <c r="J290" s="5" t="str">
        <f>""</f>
        <v/>
      </c>
      <c r="K290" s="5" t="str">
        <f>"нет"</f>
        <v>нет</v>
      </c>
      <c r="L290" s="5" t="str">
        <f>""</f>
        <v/>
      </c>
      <c r="M290" s="5" t="str">
        <f>""</f>
        <v/>
      </c>
      <c r="N290" s="5" t="str">
        <f>""</f>
        <v/>
      </c>
      <c r="O290" s="8" t="str">
        <f>"1917"</f>
        <v>1917</v>
      </c>
      <c r="P290" s="5" t="str">
        <f>"57,00"</f>
        <v>57,00</v>
      </c>
      <c r="Q290" s="5" t="str">
        <f>"2019"</f>
        <v>2019</v>
      </c>
      <c r="R290" s="5" t="str">
        <f t="shared" ref="R290:R297" si="491">"нет"</f>
        <v>нет</v>
      </c>
      <c r="S290" s="5" t="str">
        <f>""</f>
        <v/>
      </c>
      <c r="T290" s="5" t="str">
        <f>""</f>
        <v/>
      </c>
      <c r="U290" s="5" t="str">
        <f>""</f>
        <v/>
      </c>
      <c r="V290" s="5" t="str">
        <f t="shared" ref="V290:V297" si="492">"нет"</f>
        <v>нет</v>
      </c>
      <c r="W290" s="5" t="str">
        <f>""</f>
        <v/>
      </c>
      <c r="X290" s="5" t="str">
        <f>""</f>
        <v/>
      </c>
      <c r="Y290" s="9" t="str">
        <f>""</f>
        <v/>
      </c>
      <c r="Z290" s="5" t="str">
        <f>"1917"</f>
        <v>1917</v>
      </c>
      <c r="AA290" s="5" t="str">
        <f>"58,00"</f>
        <v>58,00</v>
      </c>
      <c r="AB290" s="5" t="str">
        <f>"2019"</f>
        <v>2019</v>
      </c>
      <c r="AC290" s="5" t="str">
        <f>"нет"</f>
        <v>нет</v>
      </c>
      <c r="AD290" s="5" t="str">
        <f t="shared" si="480"/>
        <v>х</v>
      </c>
      <c r="AE290" s="5" t="str">
        <f t="shared" si="480"/>
        <v>х</v>
      </c>
      <c r="AF290" s="5" t="str">
        <f t="shared" si="480"/>
        <v>х</v>
      </c>
      <c r="AG290" s="5" t="str">
        <f>"нет"</f>
        <v>нет</v>
      </c>
      <c r="AH290" s="5" t="str">
        <f t="shared" si="481"/>
        <v>х</v>
      </c>
      <c r="AI290" s="5" t="str">
        <f t="shared" si="481"/>
        <v>х</v>
      </c>
      <c r="AJ290" s="5" t="str">
        <f t="shared" si="481"/>
        <v>х</v>
      </c>
      <c r="AK290" s="8" t="str">
        <f>"1917"</f>
        <v>1917</v>
      </c>
      <c r="AL290" s="5" t="str">
        <f>"57,00"</f>
        <v>57,00</v>
      </c>
      <c r="AM290" s="5" t="str">
        <f>"2020"</f>
        <v>2020</v>
      </c>
      <c r="AN290" s="5" t="str">
        <f t="shared" si="482"/>
        <v>нет</v>
      </c>
      <c r="AO290" s="5" t="str">
        <f t="shared" si="483"/>
        <v>х</v>
      </c>
      <c r="AP290" s="5" t="str">
        <f t="shared" si="483"/>
        <v>х</v>
      </c>
      <c r="AQ290" s="5" t="str">
        <f t="shared" si="483"/>
        <v>х</v>
      </c>
      <c r="AR290" s="5" t="str">
        <f t="shared" ref="AR290:AR296" si="493">"нет"</f>
        <v>нет</v>
      </c>
      <c r="AS290" s="5" t="str">
        <f t="shared" si="484"/>
        <v>х</v>
      </c>
      <c r="AT290" s="5" t="str">
        <f t="shared" si="484"/>
        <v>х</v>
      </c>
      <c r="AU290" s="5" t="str">
        <f t="shared" si="484"/>
        <v>х</v>
      </c>
      <c r="AV290" s="5" t="str">
        <f>"1917"</f>
        <v>1917</v>
      </c>
      <c r="AW290" s="5" t="str">
        <f>"56,00"</f>
        <v>56,00</v>
      </c>
      <c r="AX290" s="5" t="str">
        <f>"2019"</f>
        <v>2019</v>
      </c>
      <c r="AY290" s="5" t="str">
        <f t="shared" si="485"/>
        <v>нет</v>
      </c>
      <c r="AZ290" s="5" t="str">
        <f t="shared" si="465"/>
        <v>х</v>
      </c>
      <c r="BA290" s="5" t="str">
        <f t="shared" si="465"/>
        <v>х</v>
      </c>
      <c r="BB290" s="5" t="str">
        <f t="shared" si="465"/>
        <v>х</v>
      </c>
      <c r="BC290" s="5" t="str">
        <f t="shared" si="486"/>
        <v>нет</v>
      </c>
      <c r="BD290" s="5" t="str">
        <f t="shared" si="466"/>
        <v>х</v>
      </c>
      <c r="BE290" s="5" t="str">
        <f t="shared" si="466"/>
        <v>х</v>
      </c>
      <c r="BF290" s="5" t="str">
        <f t="shared" si="466"/>
        <v>х</v>
      </c>
      <c r="BG290" s="5" t="str">
        <f>"1917"</f>
        <v>1917</v>
      </c>
      <c r="BH290" s="5" t="str">
        <f>"63,00"</f>
        <v>63,00</v>
      </c>
      <c r="BI290" s="5" t="str">
        <f>"2020"</f>
        <v>2020</v>
      </c>
      <c r="BJ290" s="5" t="str">
        <f t="shared" si="487"/>
        <v>нет</v>
      </c>
      <c r="BK290" s="5" t="str">
        <f t="shared" si="488"/>
        <v>х</v>
      </c>
      <c r="BL290" s="5" t="str">
        <f t="shared" si="488"/>
        <v>х</v>
      </c>
      <c r="BM290" s="5" t="str">
        <f t="shared" si="488"/>
        <v>х</v>
      </c>
      <c r="BN290" s="5" t="str">
        <f t="shared" si="489"/>
        <v>нет</v>
      </c>
      <c r="BO290" s="5" t="str">
        <f t="shared" si="490"/>
        <v>х</v>
      </c>
      <c r="BP290" s="5" t="str">
        <f t="shared" si="490"/>
        <v>х</v>
      </c>
      <c r="BQ290" s="5" t="str">
        <f t="shared" si="490"/>
        <v>х</v>
      </c>
      <c r="BR290" s="5" t="str">
        <f>"1917"</f>
        <v>1917</v>
      </c>
      <c r="BS290" s="5" t="str">
        <f>"65,00"</f>
        <v>65,00</v>
      </c>
      <c r="BT290" s="5" t="str">
        <f>"2020"</f>
        <v>2020</v>
      </c>
      <c r="BU290" s="5" t="str">
        <f t="shared" si="453"/>
        <v>нет</v>
      </c>
      <c r="BV290" s="5" t="str">
        <f t="shared" si="458"/>
        <v>x</v>
      </c>
      <c r="BW290" s="5" t="str">
        <f t="shared" si="458"/>
        <v>x</v>
      </c>
      <c r="BX290" s="5" t="str">
        <f t="shared" si="458"/>
        <v>x</v>
      </c>
      <c r="BY290" s="5" t="str">
        <f t="shared" si="452"/>
        <v>нет</v>
      </c>
      <c r="BZ290" s="5" t="str">
        <f>"1917"</f>
        <v>1917</v>
      </c>
      <c r="CA290" s="5" t="str">
        <f>"66,00"</f>
        <v>66,00</v>
      </c>
      <c r="CB290" s="5" t="str">
        <f>"2020"</f>
        <v>2020</v>
      </c>
      <c r="CC290" s="5" t="str">
        <f>"1917"</f>
        <v>1917</v>
      </c>
      <c r="CD290" s="5" t="str">
        <f>"67,00"</f>
        <v>67,00</v>
      </c>
      <c r="CE290" s="5" t="str">
        <f>"2019"</f>
        <v>2019</v>
      </c>
      <c r="CF290" s="5" t="str">
        <f>"1917"</f>
        <v>1917</v>
      </c>
      <c r="CG290" s="5" t="str">
        <f>"66,00"</f>
        <v>66,00</v>
      </c>
      <c r="CH290" s="5" t="str">
        <f>"2020"</f>
        <v>2020</v>
      </c>
      <c r="CI290" s="5" t="str">
        <f>"66,00"</f>
        <v>66,00</v>
      </c>
      <c r="CJ290" s="5" t="str">
        <f>"2020"</f>
        <v>2020</v>
      </c>
    </row>
    <row r="291" spans="1:88" ht="11.25" customHeight="1">
      <c r="A291" s="3" t="str">
        <f>"1.278"</f>
        <v>1.278</v>
      </c>
      <c r="B291" s="4" t="str">
        <f>"г. Грязовец, ул. Советская, д.84"</f>
        <v>г. Грязовец, ул. Советская, д.84</v>
      </c>
      <c r="C291" s="7" t="str">
        <f>"1985"</f>
        <v>1985</v>
      </c>
      <c r="D291" s="5" t="str">
        <f>"1985"</f>
        <v>1985</v>
      </c>
      <c r="E291" s="5" t="str">
        <f>"14,00"</f>
        <v>14,00</v>
      </c>
      <c r="F291" s="5" t="str">
        <f>"2035"</f>
        <v>2035</v>
      </c>
      <c r="G291" s="5" t="str">
        <f>"нет"</f>
        <v>нет</v>
      </c>
      <c r="H291" s="5" t="str">
        <f>""</f>
        <v/>
      </c>
      <c r="I291" s="5" t="str">
        <f>""</f>
        <v/>
      </c>
      <c r="J291" s="5" t="str">
        <f>""</f>
        <v/>
      </c>
      <c r="K291" s="5" t="str">
        <f>"нет"</f>
        <v>нет</v>
      </c>
      <c r="L291" s="5" t="str">
        <f>""</f>
        <v/>
      </c>
      <c r="M291" s="5" t="str">
        <f>""</f>
        <v/>
      </c>
      <c r="N291" s="5" t="str">
        <f>""</f>
        <v/>
      </c>
      <c r="O291" s="8" t="str">
        <f>"1985"</f>
        <v>1985</v>
      </c>
      <c r="P291" s="5" t="str">
        <f>"13,00"</f>
        <v>13,00</v>
      </c>
      <c r="Q291" s="5" t="str">
        <f>"2035"</f>
        <v>2035</v>
      </c>
      <c r="R291" s="5" t="str">
        <f t="shared" si="491"/>
        <v>нет</v>
      </c>
      <c r="S291" s="5" t="str">
        <f>"х"</f>
        <v>х</v>
      </c>
      <c r="T291" s="5" t="str">
        <f>"х"</f>
        <v>х</v>
      </c>
      <c r="U291" s="5" t="str">
        <f>"х"</f>
        <v>х</v>
      </c>
      <c r="V291" s="5" t="str">
        <f t="shared" si="492"/>
        <v>нет</v>
      </c>
      <c r="W291" s="5" t="str">
        <f>"х"</f>
        <v>х</v>
      </c>
      <c r="X291" s="5" t="str">
        <f>"х"</f>
        <v>х</v>
      </c>
      <c r="Y291" s="9" t="str">
        <f>"х"</f>
        <v>х</v>
      </c>
      <c r="Z291" s="5" t="str">
        <f>"1985"</f>
        <v>1985</v>
      </c>
      <c r="AA291" s="5" t="str">
        <f>"14,00"</f>
        <v>14,00</v>
      </c>
      <c r="AB291" s="5" t="str">
        <f>"2035"</f>
        <v>2035</v>
      </c>
      <c r="AC291" s="5" t="str">
        <f>"нет"</f>
        <v>нет</v>
      </c>
      <c r="AD291" s="5" t="str">
        <f>""</f>
        <v/>
      </c>
      <c r="AE291" s="5" t="str">
        <f>""</f>
        <v/>
      </c>
      <c r="AF291" s="5" t="str">
        <f>""</f>
        <v/>
      </c>
      <c r="AG291" s="5" t="str">
        <f>"нет"</f>
        <v>нет</v>
      </c>
      <c r="AH291" s="5" t="str">
        <f>""</f>
        <v/>
      </c>
      <c r="AI291" s="5" t="str">
        <f>""</f>
        <v/>
      </c>
      <c r="AJ291" s="5" t="str">
        <f>""</f>
        <v/>
      </c>
      <c r="AK291" s="8" t="str">
        <f>"1985"</f>
        <v>1985</v>
      </c>
      <c r="AL291" s="5" t="str">
        <f>"16,00"</f>
        <v>16,00</v>
      </c>
      <c r="AM291" s="5" t="str">
        <f>"2034"</f>
        <v>2034</v>
      </c>
      <c r="AN291" s="5" t="str">
        <f t="shared" si="482"/>
        <v>нет</v>
      </c>
      <c r="AO291" s="5" t="str">
        <f t="shared" si="483"/>
        <v>х</v>
      </c>
      <c r="AP291" s="5" t="str">
        <f t="shared" si="483"/>
        <v>х</v>
      </c>
      <c r="AQ291" s="5" t="str">
        <f t="shared" si="483"/>
        <v>х</v>
      </c>
      <c r="AR291" s="5" t="str">
        <f t="shared" si="493"/>
        <v>нет</v>
      </c>
      <c r="AS291" s="5" t="str">
        <f t="shared" si="484"/>
        <v>х</v>
      </c>
      <c r="AT291" s="5" t="str">
        <f t="shared" si="484"/>
        <v>х</v>
      </c>
      <c r="AU291" s="5" t="str">
        <f t="shared" si="484"/>
        <v>х</v>
      </c>
      <c r="AV291" s="5" t="str">
        <f>"1985"</f>
        <v>1985</v>
      </c>
      <c r="AW291" s="5" t="str">
        <f>"13,00"</f>
        <v>13,00</v>
      </c>
      <c r="AX291" s="5" t="str">
        <f>"2035"</f>
        <v>2035</v>
      </c>
      <c r="AY291" s="5" t="str">
        <f t="shared" si="485"/>
        <v>нет</v>
      </c>
      <c r="AZ291" s="5" t="str">
        <f t="shared" si="465"/>
        <v>х</v>
      </c>
      <c r="BA291" s="5" t="str">
        <f t="shared" si="465"/>
        <v>х</v>
      </c>
      <c r="BB291" s="5" t="str">
        <f t="shared" si="465"/>
        <v>х</v>
      </c>
      <c r="BC291" s="5" t="str">
        <f t="shared" si="486"/>
        <v>нет</v>
      </c>
      <c r="BD291" s="5" t="str">
        <f t="shared" si="466"/>
        <v>х</v>
      </c>
      <c r="BE291" s="5" t="str">
        <f t="shared" si="466"/>
        <v>х</v>
      </c>
      <c r="BF291" s="5" t="str">
        <f t="shared" si="466"/>
        <v>х</v>
      </c>
      <c r="BG291" s="5" t="str">
        <f>"1985"</f>
        <v>1985</v>
      </c>
      <c r="BH291" s="5" t="str">
        <f>"19,00"</f>
        <v>19,00</v>
      </c>
      <c r="BI291" s="5" t="str">
        <f>"2035"</f>
        <v>2035</v>
      </c>
      <c r="BJ291" s="5" t="str">
        <f t="shared" si="487"/>
        <v>нет</v>
      </c>
      <c r="BK291" s="5" t="str">
        <f t="shared" si="488"/>
        <v>х</v>
      </c>
      <c r="BL291" s="5" t="str">
        <f t="shared" si="488"/>
        <v>х</v>
      </c>
      <c r="BM291" s="5" t="str">
        <f t="shared" si="488"/>
        <v>х</v>
      </c>
      <c r="BN291" s="5" t="str">
        <f t="shared" si="489"/>
        <v>нет</v>
      </c>
      <c r="BO291" s="5" t="str">
        <f t="shared" si="490"/>
        <v>х</v>
      </c>
      <c r="BP291" s="5" t="str">
        <f t="shared" si="490"/>
        <v>х</v>
      </c>
      <c r="BQ291" s="5" t="str">
        <f t="shared" si="490"/>
        <v>х</v>
      </c>
      <c r="BR291" s="5" t="str">
        <f>"1985"</f>
        <v>1985</v>
      </c>
      <c r="BS291" s="5" t="str">
        <f>"20,00"</f>
        <v>20,00</v>
      </c>
      <c r="BT291" s="5" t="str">
        <f>"2032"</f>
        <v>2032</v>
      </c>
      <c r="BU291" s="5" t="str">
        <f t="shared" si="453"/>
        <v>нет</v>
      </c>
      <c r="BV291" s="5" t="str">
        <f t="shared" si="458"/>
        <v>x</v>
      </c>
      <c r="BW291" s="5" t="str">
        <f t="shared" si="458"/>
        <v>x</v>
      </c>
      <c r="BX291" s="5" t="str">
        <f t="shared" si="458"/>
        <v>x</v>
      </c>
      <c r="BY291" s="5" t="str">
        <f t="shared" si="452"/>
        <v>нет</v>
      </c>
      <c r="BZ291" s="5" t="str">
        <f>"1985"</f>
        <v>1985</v>
      </c>
      <c r="CA291" s="5" t="str">
        <f>"20,00"</f>
        <v>20,00</v>
      </c>
      <c r="CB291" s="5" t="str">
        <f>"2030"</f>
        <v>2030</v>
      </c>
      <c r="CC291" s="5" t="str">
        <f>"1985"</f>
        <v>1985</v>
      </c>
      <c r="CD291" s="5" t="str">
        <f>"21,00"</f>
        <v>21,00</v>
      </c>
      <c r="CE291" s="5" t="str">
        <f>"2030"</f>
        <v>2030</v>
      </c>
      <c r="CF291" s="5" t="str">
        <f>"1985"</f>
        <v>1985</v>
      </c>
      <c r="CG291" s="5" t="str">
        <f>"20,00"</f>
        <v>20,00</v>
      </c>
      <c r="CH291" s="5" t="str">
        <f>"2030"</f>
        <v>2030</v>
      </c>
      <c r="CI291" s="5" t="str">
        <f>"20,00"</f>
        <v>20,00</v>
      </c>
      <c r="CJ291" s="5" t="str">
        <f>"2043"</f>
        <v>2043</v>
      </c>
    </row>
    <row r="292" spans="1:88" ht="11.25" customHeight="1">
      <c r="A292" s="3" t="str">
        <f>"1.279"</f>
        <v>1.279</v>
      </c>
      <c r="B292" s="4" t="str">
        <f>"г. Грязовец, ул. Соколовская, д.1"</f>
        <v>г. Грязовец, ул. Соколовская, д.1</v>
      </c>
      <c r="C292" s="7" t="str">
        <f>"1986"</f>
        <v>1986</v>
      </c>
      <c r="D292" s="5" t="str">
        <f>"1986"</f>
        <v>1986</v>
      </c>
      <c r="E292" s="5" t="str">
        <f>"15,00"</f>
        <v>15,00</v>
      </c>
      <c r="F292" s="5" t="str">
        <f>"2034"</f>
        <v>2034</v>
      </c>
      <c r="G292" s="5" t="str">
        <f t="shared" ref="G292:G297" si="494">"да"</f>
        <v>да</v>
      </c>
      <c r="H292" s="5" t="str">
        <f>""</f>
        <v/>
      </c>
      <c r="I292" s="5" t="str">
        <f>"10,00"</f>
        <v>10,00</v>
      </c>
      <c r="J292" s="5" t="str">
        <f>"2034"</f>
        <v>2034</v>
      </c>
      <c r="K292" s="5" t="str">
        <f t="shared" ref="K292:K297" si="495">"да"</f>
        <v>да</v>
      </c>
      <c r="L292" s="5" t="str">
        <f>""</f>
        <v/>
      </c>
      <c r="M292" s="5" t="str">
        <f>"10,00"</f>
        <v>10,00</v>
      </c>
      <c r="N292" s="5" t="str">
        <f>"2034"</f>
        <v>2034</v>
      </c>
      <c r="O292" s="8" t="str">
        <f>"1986"</f>
        <v>1986</v>
      </c>
      <c r="P292" s="5" t="str">
        <f>"24,00"</f>
        <v>24,00</v>
      </c>
      <c r="Q292" s="5" t="str">
        <f>"2030"</f>
        <v>2030</v>
      </c>
      <c r="R292" s="5" t="str">
        <f t="shared" si="491"/>
        <v>нет</v>
      </c>
      <c r="S292" s="5" t="str">
        <f>""</f>
        <v/>
      </c>
      <c r="T292" s="5" t="str">
        <f>""</f>
        <v/>
      </c>
      <c r="U292" s="5" t="str">
        <f>""</f>
        <v/>
      </c>
      <c r="V292" s="5" t="str">
        <f t="shared" si="492"/>
        <v>нет</v>
      </c>
      <c r="W292" s="5" t="str">
        <f>""</f>
        <v/>
      </c>
      <c r="X292" s="5" t="str">
        <f>""</f>
        <v/>
      </c>
      <c r="Y292" s="9" t="str">
        <f>""</f>
        <v/>
      </c>
      <c r="Z292" s="5" t="str">
        <f>"1986"</f>
        <v>1986</v>
      </c>
      <c r="AA292" s="5" t="str">
        <f>"14,00"</f>
        <v>14,00</v>
      </c>
      <c r="AB292" s="5" t="str">
        <f>"2030"</f>
        <v>2030</v>
      </c>
      <c r="AC292" s="5" t="str">
        <f>"нет"</f>
        <v>нет</v>
      </c>
      <c r="AD292" s="5" t="str">
        <f>""</f>
        <v/>
      </c>
      <c r="AE292" s="5" t="str">
        <f>""</f>
        <v/>
      </c>
      <c r="AF292" s="5" t="str">
        <f>""</f>
        <v/>
      </c>
      <c r="AG292" s="5" t="str">
        <f>"нет"</f>
        <v>нет</v>
      </c>
      <c r="AH292" s="5" t="str">
        <f>""</f>
        <v/>
      </c>
      <c r="AI292" s="5" t="str">
        <f>""</f>
        <v/>
      </c>
      <c r="AJ292" s="5" t="str">
        <f>""</f>
        <v/>
      </c>
      <c r="AK292" s="8" t="str">
        <f>"1986"</f>
        <v>1986</v>
      </c>
      <c r="AL292" s="5" t="str">
        <f>"32,00"</f>
        <v>32,00</v>
      </c>
      <c r="AM292" s="5" t="str">
        <f>"2025"</f>
        <v>2025</v>
      </c>
      <c r="AN292" s="5" t="str">
        <f t="shared" si="482"/>
        <v>нет</v>
      </c>
      <c r="AO292" s="5" t="str">
        <f>""</f>
        <v/>
      </c>
      <c r="AP292" s="5" t="str">
        <f>""</f>
        <v/>
      </c>
      <c r="AQ292" s="5" t="str">
        <f>""</f>
        <v/>
      </c>
      <c r="AR292" s="5" t="str">
        <f t="shared" si="493"/>
        <v>нет</v>
      </c>
      <c r="AS292" s="5" t="str">
        <f>""</f>
        <v/>
      </c>
      <c r="AT292" s="5" t="str">
        <f>""</f>
        <v/>
      </c>
      <c r="AU292" s="5" t="str">
        <f>""</f>
        <v/>
      </c>
      <c r="AV292" s="5" t="str">
        <f>""</f>
        <v/>
      </c>
      <c r="AW292" s="5" t="str">
        <f>"15,00"</f>
        <v>15,00</v>
      </c>
      <c r="AX292" s="5" t="str">
        <f>"2030"</f>
        <v>2030</v>
      </c>
      <c r="AY292" s="5" t="str">
        <f t="shared" si="485"/>
        <v>нет</v>
      </c>
      <c r="AZ292" s="5" t="str">
        <f>""</f>
        <v/>
      </c>
      <c r="BA292" s="5" t="str">
        <f>""</f>
        <v/>
      </c>
      <c r="BB292" s="5" t="str">
        <f>""</f>
        <v/>
      </c>
      <c r="BC292" s="5" t="str">
        <f t="shared" si="486"/>
        <v>нет</v>
      </c>
      <c r="BD292" s="5" t="str">
        <f>""</f>
        <v/>
      </c>
      <c r="BE292" s="5" t="str">
        <f>""</f>
        <v/>
      </c>
      <c r="BF292" s="5" t="str">
        <f>""</f>
        <v/>
      </c>
      <c r="BG292" s="5" t="str">
        <f>"1986"</f>
        <v>1986</v>
      </c>
      <c r="BH292" s="5" t="str">
        <f>"38,00"</f>
        <v>38,00</v>
      </c>
      <c r="BI292" s="5" t="str">
        <f>"2030"</f>
        <v>2030</v>
      </c>
      <c r="BJ292" s="5" t="str">
        <f t="shared" si="487"/>
        <v>нет</v>
      </c>
      <c r="BK292" s="5" t="str">
        <f>""</f>
        <v/>
      </c>
      <c r="BL292" s="5" t="str">
        <f>""</f>
        <v/>
      </c>
      <c r="BM292" s="5" t="str">
        <f>""</f>
        <v/>
      </c>
      <c r="BN292" s="5" t="str">
        <f t="shared" si="489"/>
        <v>нет</v>
      </c>
      <c r="BO292" s="5" t="str">
        <f>""</f>
        <v/>
      </c>
      <c r="BP292" s="5" t="str">
        <f>""</f>
        <v/>
      </c>
      <c r="BQ292" s="5" t="str">
        <f>""</f>
        <v/>
      </c>
      <c r="BR292" s="5" t="str">
        <f>"1986"</f>
        <v>1986</v>
      </c>
      <c r="BS292" s="5" t="str">
        <f>"26,00"</f>
        <v>26,00</v>
      </c>
      <c r="BT292" s="5" t="str">
        <f>"2030"</f>
        <v>2030</v>
      </c>
      <c r="BU292" s="5" t="str">
        <f t="shared" si="453"/>
        <v>нет</v>
      </c>
      <c r="BV292" s="5" t="str">
        <f t="shared" si="458"/>
        <v>x</v>
      </c>
      <c r="BW292" s="5" t="str">
        <f t="shared" si="458"/>
        <v>x</v>
      </c>
      <c r="BX292" s="5" t="str">
        <f t="shared" si="458"/>
        <v>x</v>
      </c>
      <c r="BY292" s="5" t="str">
        <f t="shared" si="452"/>
        <v>нет</v>
      </c>
      <c r="BZ292" s="5" t="str">
        <f>"1986"</f>
        <v>1986</v>
      </c>
      <c r="CA292" s="5" t="str">
        <f>"22,00"</f>
        <v>22,00</v>
      </c>
      <c r="CB292" s="5" t="str">
        <f>"2028"</f>
        <v>2028</v>
      </c>
      <c r="CC292" s="5" t="str">
        <f>"1986"</f>
        <v>1986</v>
      </c>
      <c r="CD292" s="5" t="str">
        <f>"16,00"</f>
        <v>16,00</v>
      </c>
      <c r="CE292" s="5" t="str">
        <f>"2035"</f>
        <v>2035</v>
      </c>
      <c r="CF292" s="5" t="str">
        <f>"1986"</f>
        <v>1986</v>
      </c>
      <c r="CG292" s="5" t="str">
        <f>"12,00"</f>
        <v>12,00</v>
      </c>
      <c r="CH292" s="5" t="str">
        <f>"2032"</f>
        <v>2032</v>
      </c>
      <c r="CI292" s="5" t="str">
        <f>"16,00"</f>
        <v>16,00</v>
      </c>
      <c r="CJ292" s="5" t="str">
        <f>"2044"</f>
        <v>2044</v>
      </c>
    </row>
    <row r="293" spans="1:88" ht="11.25" customHeight="1">
      <c r="A293" s="3" t="str">
        <f>"1.280"</f>
        <v>1.280</v>
      </c>
      <c r="B293" s="4" t="str">
        <f>"г. Грязовец, ул. Соколовская, д.1А"</f>
        <v>г. Грязовец, ул. Соколовская, д.1А</v>
      </c>
      <c r="C293" s="7" t="str">
        <f>"1994"</f>
        <v>1994</v>
      </c>
      <c r="D293" s="5" t="str">
        <f>"1994"</f>
        <v>1994</v>
      </c>
      <c r="E293" s="5" t="str">
        <f>"12,00"</f>
        <v>12,00</v>
      </c>
      <c r="F293" s="5" t="str">
        <f>"2033"</f>
        <v>2033</v>
      </c>
      <c r="G293" s="5" t="str">
        <f t="shared" si="494"/>
        <v>да</v>
      </c>
      <c r="H293" s="5" t="str">
        <f>""</f>
        <v/>
      </c>
      <c r="I293" s="5" t="str">
        <f>"10,00"</f>
        <v>10,00</v>
      </c>
      <c r="J293" s="5" t="str">
        <f>"2033"</f>
        <v>2033</v>
      </c>
      <c r="K293" s="5" t="str">
        <f t="shared" si="495"/>
        <v>да</v>
      </c>
      <c r="L293" s="5" t="str">
        <f>""</f>
        <v/>
      </c>
      <c r="M293" s="5" t="str">
        <f>"10,00"</f>
        <v>10,00</v>
      </c>
      <c r="N293" s="5" t="str">
        <f>"2033"</f>
        <v>2033</v>
      </c>
      <c r="O293" s="8" t="str">
        <f>"1994"</f>
        <v>1994</v>
      </c>
      <c r="P293" s="5" t="str">
        <f>"21,00"</f>
        <v>21,00</v>
      </c>
      <c r="Q293" s="5" t="str">
        <f>"2030"</f>
        <v>2030</v>
      </c>
      <c r="R293" s="5" t="str">
        <f t="shared" si="491"/>
        <v>нет</v>
      </c>
      <c r="S293" s="5" t="str">
        <f>""</f>
        <v/>
      </c>
      <c r="T293" s="5" t="str">
        <f>""</f>
        <v/>
      </c>
      <c r="U293" s="5" t="str">
        <f>""</f>
        <v/>
      </c>
      <c r="V293" s="5" t="str">
        <f t="shared" si="492"/>
        <v>нет</v>
      </c>
      <c r="W293" s="5" t="str">
        <f>""</f>
        <v/>
      </c>
      <c r="X293" s="5" t="str">
        <f>""</f>
        <v/>
      </c>
      <c r="Y293" s="9" t="str">
        <f>""</f>
        <v/>
      </c>
      <c r="Z293" s="5" t="str">
        <f>"1994"</f>
        <v>1994</v>
      </c>
      <c r="AA293" s="5" t="str">
        <f>"14,00"</f>
        <v>14,00</v>
      </c>
      <c r="AB293" s="5" t="str">
        <f>"2028"</f>
        <v>2028</v>
      </c>
      <c r="AC293" s="5" t="str">
        <f>"да"</f>
        <v>да</v>
      </c>
      <c r="AD293" s="5" t="str">
        <f>""</f>
        <v/>
      </c>
      <c r="AE293" s="5" t="str">
        <f>"10,00"</f>
        <v>10,00</v>
      </c>
      <c r="AF293" s="5" t="str">
        <f>"2028"</f>
        <v>2028</v>
      </c>
      <c r="AG293" s="5" t="str">
        <f>"да"</f>
        <v>да</v>
      </c>
      <c r="AH293" s="5" t="str">
        <f>""</f>
        <v/>
      </c>
      <c r="AI293" s="5" t="str">
        <f>"10,00"</f>
        <v>10,00</v>
      </c>
      <c r="AJ293" s="5" t="str">
        <f>"2028"</f>
        <v>2028</v>
      </c>
      <c r="AK293" s="8" t="str">
        <f>"1994"</f>
        <v>1994</v>
      </c>
      <c r="AL293" s="5" t="str">
        <f>"24,00"</f>
        <v>24,00</v>
      </c>
      <c r="AM293" s="5" t="str">
        <f>"2028"</f>
        <v>2028</v>
      </c>
      <c r="AN293" s="5" t="str">
        <f t="shared" si="482"/>
        <v>нет</v>
      </c>
      <c r="AO293" s="5" t="str">
        <f>""</f>
        <v/>
      </c>
      <c r="AP293" s="5" t="str">
        <f>""</f>
        <v/>
      </c>
      <c r="AQ293" s="5" t="str">
        <f>""</f>
        <v/>
      </c>
      <c r="AR293" s="5" t="str">
        <f t="shared" si="493"/>
        <v>нет</v>
      </c>
      <c r="AS293" s="5" t="str">
        <f>""</f>
        <v/>
      </c>
      <c r="AT293" s="5" t="str">
        <f>""</f>
        <v/>
      </c>
      <c r="AU293" s="5" t="str">
        <f>""</f>
        <v/>
      </c>
      <c r="AV293" s="5" t="str">
        <f>"х"</f>
        <v>х</v>
      </c>
      <c r="AW293" s="5" t="str">
        <f>"х"</f>
        <v>х</v>
      </c>
      <c r="AX293" s="5" t="str">
        <f>"х"</f>
        <v>х</v>
      </c>
      <c r="AY293" s="5" t="str">
        <f t="shared" si="485"/>
        <v>нет</v>
      </c>
      <c r="AZ293" s="5" t="str">
        <f t="shared" ref="AZ293:BB298" si="496">"х"</f>
        <v>х</v>
      </c>
      <c r="BA293" s="5" t="str">
        <f t="shared" si="496"/>
        <v>х</v>
      </c>
      <c r="BB293" s="5" t="str">
        <f t="shared" si="496"/>
        <v>х</v>
      </c>
      <c r="BC293" s="5" t="str">
        <f t="shared" si="486"/>
        <v>нет</v>
      </c>
      <c r="BD293" s="5" t="str">
        <f t="shared" ref="BD293:BF298" si="497">"х"</f>
        <v>х</v>
      </c>
      <c r="BE293" s="5" t="str">
        <f t="shared" si="497"/>
        <v>х</v>
      </c>
      <c r="BF293" s="5" t="str">
        <f t="shared" si="497"/>
        <v>х</v>
      </c>
      <c r="BG293" s="5" t="str">
        <f>"1994"</f>
        <v>1994</v>
      </c>
      <c r="BH293" s="5" t="str">
        <f>"26,00"</f>
        <v>26,00</v>
      </c>
      <c r="BI293" s="5" t="str">
        <f>"2028"</f>
        <v>2028</v>
      </c>
      <c r="BJ293" s="5" t="str">
        <f t="shared" si="487"/>
        <v>нет</v>
      </c>
      <c r="BK293" s="5" t="str">
        <f>""</f>
        <v/>
      </c>
      <c r="BL293" s="5" t="str">
        <f>""</f>
        <v/>
      </c>
      <c r="BM293" s="5" t="str">
        <f>""</f>
        <v/>
      </c>
      <c r="BN293" s="5" t="str">
        <f t="shared" si="489"/>
        <v>нет</v>
      </c>
      <c r="BO293" s="5" t="str">
        <f>""</f>
        <v/>
      </c>
      <c r="BP293" s="5" t="str">
        <f>""</f>
        <v/>
      </c>
      <c r="BQ293" s="5" t="str">
        <f>""</f>
        <v/>
      </c>
      <c r="BR293" s="5" t="str">
        <f>"1994"</f>
        <v>1994</v>
      </c>
      <c r="BS293" s="5" t="str">
        <f>"28,00"</f>
        <v>28,00</v>
      </c>
      <c r="BT293" s="5" t="str">
        <f>"2024"</f>
        <v>2024</v>
      </c>
      <c r="BU293" s="5" t="str">
        <f t="shared" si="453"/>
        <v>нет</v>
      </c>
      <c r="BV293" s="5" t="str">
        <f t="shared" si="458"/>
        <v>x</v>
      </c>
      <c r="BW293" s="5" t="str">
        <f t="shared" si="458"/>
        <v>x</v>
      </c>
      <c r="BX293" s="5" t="str">
        <f t="shared" si="458"/>
        <v>x</v>
      </c>
      <c r="BY293" s="5" t="str">
        <f t="shared" si="452"/>
        <v>нет</v>
      </c>
      <c r="BZ293" s="5" t="str">
        <f>"1994"</f>
        <v>1994</v>
      </c>
      <c r="CA293" s="5" t="str">
        <f>"16,00"</f>
        <v>16,00</v>
      </c>
      <c r="CB293" s="5" t="str">
        <f>"2028"</f>
        <v>2028</v>
      </c>
      <c r="CC293" s="5" t="str">
        <f>"1994"</f>
        <v>1994</v>
      </c>
      <c r="CD293" s="5" t="str">
        <f>"16,00"</f>
        <v>16,00</v>
      </c>
      <c r="CE293" s="5" t="str">
        <f>"2029"</f>
        <v>2029</v>
      </c>
      <c r="CF293" s="5" t="str">
        <f>"1994"</f>
        <v>1994</v>
      </c>
      <c r="CG293" s="5" t="str">
        <f>"8,00"</f>
        <v>8,00</v>
      </c>
      <c r="CH293" s="5" t="str">
        <f>"2029"</f>
        <v>2029</v>
      </c>
      <c r="CI293" s="5" t="str">
        <f>"19,00"</f>
        <v>19,00</v>
      </c>
      <c r="CJ293" s="5" t="str">
        <f>"2040"</f>
        <v>2040</v>
      </c>
    </row>
    <row r="294" spans="1:88" ht="11.25" customHeight="1">
      <c r="A294" s="3" t="str">
        <f>"1.281"</f>
        <v>1.281</v>
      </c>
      <c r="B294" s="4" t="str">
        <f>"г. Грязовец, ул. Соколовская, д.27"</f>
        <v>г. Грязовец, ул. Соколовская, д.27</v>
      </c>
      <c r="C294" s="7" t="str">
        <f>"1973"</f>
        <v>1973</v>
      </c>
      <c r="D294" s="5" t="str">
        <f>"2002"</f>
        <v>2002</v>
      </c>
      <c r="E294" s="5" t="str">
        <f>"16,00"</f>
        <v>16,00</v>
      </c>
      <c r="F294" s="5" t="str">
        <f>"2027"</f>
        <v>2027</v>
      </c>
      <c r="G294" s="5" t="str">
        <f t="shared" si="494"/>
        <v>да</v>
      </c>
      <c r="H294" s="5" t="str">
        <f>""</f>
        <v/>
      </c>
      <c r="I294" s="5" t="str">
        <f>"15,00"</f>
        <v>15,00</v>
      </c>
      <c r="J294" s="5" t="str">
        <f>"2027"</f>
        <v>2027</v>
      </c>
      <c r="K294" s="5" t="str">
        <f t="shared" si="495"/>
        <v>да</v>
      </c>
      <c r="L294" s="5" t="str">
        <f>""</f>
        <v/>
      </c>
      <c r="M294" s="5" t="str">
        <f>"15,00"</f>
        <v>15,00</v>
      </c>
      <c r="N294" s="5" t="str">
        <f>"2027"</f>
        <v>2027</v>
      </c>
      <c r="O294" s="8" t="str">
        <f>"1973"</f>
        <v>1973</v>
      </c>
      <c r="P294" s="5" t="str">
        <f>"40,00"</f>
        <v>40,00</v>
      </c>
      <c r="Q294" s="5" t="str">
        <f>"2024"</f>
        <v>2024</v>
      </c>
      <c r="R294" s="5" t="str">
        <f t="shared" si="491"/>
        <v>нет</v>
      </c>
      <c r="S294" s="5" t="str">
        <f t="shared" ref="S294:U296" si="498">"х"</f>
        <v>х</v>
      </c>
      <c r="T294" s="5" t="str">
        <f t="shared" si="498"/>
        <v>х</v>
      </c>
      <c r="U294" s="5" t="str">
        <f t="shared" si="498"/>
        <v>х</v>
      </c>
      <c r="V294" s="5" t="str">
        <f t="shared" si="492"/>
        <v>нет</v>
      </c>
      <c r="W294" s="5" t="str">
        <f t="shared" ref="W294:Y296" si="499">"х"</f>
        <v>х</v>
      </c>
      <c r="X294" s="5" t="str">
        <f t="shared" si="499"/>
        <v>х</v>
      </c>
      <c r="Y294" s="9" t="str">
        <f t="shared" si="499"/>
        <v>х</v>
      </c>
      <c r="Z294" s="5" t="str">
        <f>"1973"</f>
        <v>1973</v>
      </c>
      <c r="AA294" s="5" t="str">
        <f>"42,00"</f>
        <v>42,00</v>
      </c>
      <c r="AB294" s="5" t="str">
        <f>"2022"</f>
        <v>2022</v>
      </c>
      <c r="AC294" s="5" t="str">
        <f>"да"</f>
        <v>да</v>
      </c>
      <c r="AD294" s="5" t="str">
        <f>""</f>
        <v/>
      </c>
      <c r="AE294" s="5" t="str">
        <f>"42,00"</f>
        <v>42,00</v>
      </c>
      <c r="AF294" s="5" t="str">
        <f>"2022"</f>
        <v>2022</v>
      </c>
      <c r="AG294" s="5" t="str">
        <f>"да"</f>
        <v>да</v>
      </c>
      <c r="AH294" s="5" t="str">
        <f>""</f>
        <v/>
      </c>
      <c r="AI294" s="5" t="str">
        <f>"42,00"</f>
        <v>42,00</v>
      </c>
      <c r="AJ294" s="5" t="str">
        <f>"2022"</f>
        <v>2022</v>
      </c>
      <c r="AK294" s="8" t="str">
        <f>"1973"</f>
        <v>1973</v>
      </c>
      <c r="AL294" s="5" t="str">
        <f>"44,00"</f>
        <v>44,00</v>
      </c>
      <c r="AM294" s="5" t="str">
        <f>"2025"</f>
        <v>2025</v>
      </c>
      <c r="AN294" s="5" t="str">
        <f t="shared" si="482"/>
        <v>нет</v>
      </c>
      <c r="AO294" s="5" t="str">
        <f t="shared" ref="AO294:AQ296" si="500">"х"</f>
        <v>х</v>
      </c>
      <c r="AP294" s="5" t="str">
        <f t="shared" si="500"/>
        <v>х</v>
      </c>
      <c r="AQ294" s="5" t="str">
        <f t="shared" si="500"/>
        <v>х</v>
      </c>
      <c r="AR294" s="5" t="str">
        <f t="shared" si="493"/>
        <v>нет</v>
      </c>
      <c r="AS294" s="5" t="str">
        <f t="shared" ref="AS294:AU296" si="501">"х"</f>
        <v>х</v>
      </c>
      <c r="AT294" s="5" t="str">
        <f t="shared" si="501"/>
        <v>х</v>
      </c>
      <c r="AU294" s="5" t="str">
        <f t="shared" si="501"/>
        <v>х</v>
      </c>
      <c r="AV294" s="5" t="str">
        <f>"1973"</f>
        <v>1973</v>
      </c>
      <c r="AW294" s="5" t="str">
        <f>"41,00"</f>
        <v>41,00</v>
      </c>
      <c r="AX294" s="5" t="str">
        <f>"2025"</f>
        <v>2025</v>
      </c>
      <c r="AY294" s="5" t="str">
        <f t="shared" si="485"/>
        <v>нет</v>
      </c>
      <c r="AZ294" s="5" t="str">
        <f t="shared" si="496"/>
        <v>х</v>
      </c>
      <c r="BA294" s="5" t="str">
        <f t="shared" si="496"/>
        <v>х</v>
      </c>
      <c r="BB294" s="5" t="str">
        <f t="shared" si="496"/>
        <v>х</v>
      </c>
      <c r="BC294" s="5" t="str">
        <f t="shared" si="486"/>
        <v>нет</v>
      </c>
      <c r="BD294" s="5" t="str">
        <f t="shared" si="497"/>
        <v>х</v>
      </c>
      <c r="BE294" s="5" t="str">
        <f t="shared" si="497"/>
        <v>х</v>
      </c>
      <c r="BF294" s="5" t="str">
        <f t="shared" si="497"/>
        <v>х</v>
      </c>
      <c r="BG294" s="5" t="str">
        <f>"1973"</f>
        <v>1973</v>
      </c>
      <c r="BH294" s="5" t="str">
        <f>"40,00"</f>
        <v>40,00</v>
      </c>
      <c r="BI294" s="5" t="str">
        <f>"2025"</f>
        <v>2025</v>
      </c>
      <c r="BJ294" s="5" t="str">
        <f t="shared" si="487"/>
        <v>нет</v>
      </c>
      <c r="BK294" s="5" t="str">
        <f t="shared" ref="BK294:BM296" si="502">"х"</f>
        <v>х</v>
      </c>
      <c r="BL294" s="5" t="str">
        <f t="shared" si="502"/>
        <v>х</v>
      </c>
      <c r="BM294" s="5" t="str">
        <f t="shared" si="502"/>
        <v>х</v>
      </c>
      <c r="BN294" s="5" t="str">
        <f t="shared" si="489"/>
        <v>нет</v>
      </c>
      <c r="BO294" s="5" t="str">
        <f t="shared" ref="BO294:BQ296" si="503">"х"</f>
        <v>х</v>
      </c>
      <c r="BP294" s="5" t="str">
        <f t="shared" si="503"/>
        <v>х</v>
      </c>
      <c r="BQ294" s="5" t="str">
        <f t="shared" si="503"/>
        <v>х</v>
      </c>
      <c r="BR294" s="5" t="str">
        <f>"1973"</f>
        <v>1973</v>
      </c>
      <c r="BS294" s="5" t="str">
        <f>"53,00"</f>
        <v>53,00</v>
      </c>
      <c r="BT294" s="5" t="str">
        <f>"2018"</f>
        <v>2018</v>
      </c>
      <c r="BU294" s="5" t="str">
        <f t="shared" si="453"/>
        <v>нет</v>
      </c>
      <c r="BV294" s="5" t="str">
        <f t="shared" si="458"/>
        <v>x</v>
      </c>
      <c r="BW294" s="5" t="str">
        <f t="shared" si="458"/>
        <v>x</v>
      </c>
      <c r="BX294" s="5" t="str">
        <f t="shared" si="458"/>
        <v>x</v>
      </c>
      <c r="BY294" s="5" t="str">
        <f t="shared" si="452"/>
        <v>нет</v>
      </c>
      <c r="BZ294" s="5" t="str">
        <f>"1973"</f>
        <v>1973</v>
      </c>
      <c r="CA294" s="5" t="str">
        <f>"44,00"</f>
        <v>44,00</v>
      </c>
      <c r="CB294" s="5" t="str">
        <f>"2026"</f>
        <v>2026</v>
      </c>
      <c r="CC294" s="5" t="str">
        <f>"1973"</f>
        <v>1973</v>
      </c>
      <c r="CD294" s="5" t="str">
        <f>"54,00"</f>
        <v>54,00</v>
      </c>
      <c r="CE294" s="5" t="str">
        <f>"2018"</f>
        <v>2018</v>
      </c>
      <c r="CF294" s="5" t="str">
        <f>"1973"</f>
        <v>1973</v>
      </c>
      <c r="CG294" s="5" t="str">
        <f>"52,00"</f>
        <v>52,00</v>
      </c>
      <c r="CH294" s="5" t="str">
        <f>"2022"</f>
        <v>2022</v>
      </c>
      <c r="CI294" s="5" t="str">
        <f>"44,00"</f>
        <v>44,00</v>
      </c>
      <c r="CJ294" s="5" t="str">
        <f>"2030"</f>
        <v>2030</v>
      </c>
    </row>
    <row r="295" spans="1:88" ht="11.25" customHeight="1">
      <c r="A295" s="3" t="str">
        <f>"1.282"</f>
        <v>1.282</v>
      </c>
      <c r="B295" s="4" t="str">
        <f>"г. Грязовец, ул. Соколовская, д.29"</f>
        <v>г. Грязовец, ул. Соколовская, д.29</v>
      </c>
      <c r="C295" s="7" t="str">
        <f>"1963"</f>
        <v>1963</v>
      </c>
      <c r="D295" s="5" t="str">
        <f>"2003"</f>
        <v>2003</v>
      </c>
      <c r="E295" s="5" t="str">
        <f>"42,00"</f>
        <v>42,00</v>
      </c>
      <c r="F295" s="5" t="str">
        <f>"2018"</f>
        <v>2018</v>
      </c>
      <c r="G295" s="5" t="str">
        <f t="shared" si="494"/>
        <v>да</v>
      </c>
      <c r="H295" s="5" t="str">
        <f>""</f>
        <v/>
      </c>
      <c r="I295" s="5" t="str">
        <f>"40,00"</f>
        <v>40,00</v>
      </c>
      <c r="J295" s="5" t="str">
        <f>"2018"</f>
        <v>2018</v>
      </c>
      <c r="K295" s="5" t="str">
        <f t="shared" si="495"/>
        <v>да</v>
      </c>
      <c r="L295" s="5" t="str">
        <f>""</f>
        <v/>
      </c>
      <c r="M295" s="5" t="str">
        <f>"40,00"</f>
        <v>40,00</v>
      </c>
      <c r="N295" s="5" t="str">
        <f>"2018"</f>
        <v>2018</v>
      </c>
      <c r="O295" s="8" t="str">
        <f t="shared" ref="O295:Q296" si="504">"х"</f>
        <v>х</v>
      </c>
      <c r="P295" s="5" t="str">
        <f t="shared" si="504"/>
        <v>х</v>
      </c>
      <c r="Q295" s="5" t="str">
        <f t="shared" si="504"/>
        <v>х</v>
      </c>
      <c r="R295" s="5" t="str">
        <f t="shared" si="491"/>
        <v>нет</v>
      </c>
      <c r="S295" s="5" t="str">
        <f t="shared" si="498"/>
        <v>х</v>
      </c>
      <c r="T295" s="5" t="str">
        <f t="shared" si="498"/>
        <v>х</v>
      </c>
      <c r="U295" s="5" t="str">
        <f t="shared" si="498"/>
        <v>х</v>
      </c>
      <c r="V295" s="5" t="str">
        <f t="shared" si="492"/>
        <v>нет</v>
      </c>
      <c r="W295" s="5" t="str">
        <f t="shared" si="499"/>
        <v>х</v>
      </c>
      <c r="X295" s="5" t="str">
        <f t="shared" si="499"/>
        <v>х</v>
      </c>
      <c r="Y295" s="9" t="str">
        <f t="shared" si="499"/>
        <v>х</v>
      </c>
      <c r="Z295" s="5" t="str">
        <f>"1978"</f>
        <v>1978</v>
      </c>
      <c r="AA295" s="5" t="str">
        <f>"62,00"</f>
        <v>62,00</v>
      </c>
      <c r="AB295" s="5" t="str">
        <f>"2018"</f>
        <v>2018</v>
      </c>
      <c r="AC295" s="5" t="str">
        <f>"да"</f>
        <v>да</v>
      </c>
      <c r="AD295" s="5" t="str">
        <f>""</f>
        <v/>
      </c>
      <c r="AE295" s="5" t="str">
        <f>"60,00"</f>
        <v>60,00</v>
      </c>
      <c r="AF295" s="5" t="str">
        <f>"2018"</f>
        <v>2018</v>
      </c>
      <c r="AG295" s="5" t="str">
        <f>"да"</f>
        <v>да</v>
      </c>
      <c r="AH295" s="5" t="str">
        <f>""</f>
        <v/>
      </c>
      <c r="AI295" s="5" t="str">
        <f>"60,00"</f>
        <v>60,00</v>
      </c>
      <c r="AJ295" s="5" t="str">
        <f>"2018"</f>
        <v>2018</v>
      </c>
      <c r="AK295" s="8" t="str">
        <f>"х"</f>
        <v>х</v>
      </c>
      <c r="AL295" s="5" t="str">
        <f>"х"</f>
        <v>х</v>
      </c>
      <c r="AM295" s="5" t="str">
        <f>"х"</f>
        <v>х</v>
      </c>
      <c r="AN295" s="5" t="str">
        <f t="shared" si="482"/>
        <v>нет</v>
      </c>
      <c r="AO295" s="5" t="str">
        <f t="shared" si="500"/>
        <v>х</v>
      </c>
      <c r="AP295" s="5" t="str">
        <f t="shared" si="500"/>
        <v>х</v>
      </c>
      <c r="AQ295" s="5" t="str">
        <f t="shared" si="500"/>
        <v>х</v>
      </c>
      <c r="AR295" s="5" t="str">
        <f t="shared" si="493"/>
        <v>нет</v>
      </c>
      <c r="AS295" s="5" t="str">
        <f t="shared" si="501"/>
        <v>х</v>
      </c>
      <c r="AT295" s="5" t="str">
        <f t="shared" si="501"/>
        <v>х</v>
      </c>
      <c r="AU295" s="5" t="str">
        <f t="shared" si="501"/>
        <v>х</v>
      </c>
      <c r="AV295" s="5" t="str">
        <f t="shared" ref="AV295:AX298" si="505">"х"</f>
        <v>х</v>
      </c>
      <c r="AW295" s="5" t="str">
        <f t="shared" si="505"/>
        <v>х</v>
      </c>
      <c r="AX295" s="5" t="str">
        <f t="shared" si="505"/>
        <v>х</v>
      </c>
      <c r="AY295" s="5" t="str">
        <f t="shared" si="485"/>
        <v>нет</v>
      </c>
      <c r="AZ295" s="5" t="str">
        <f t="shared" si="496"/>
        <v>х</v>
      </c>
      <c r="BA295" s="5" t="str">
        <f t="shared" si="496"/>
        <v>х</v>
      </c>
      <c r="BB295" s="5" t="str">
        <f t="shared" si="496"/>
        <v>х</v>
      </c>
      <c r="BC295" s="5" t="str">
        <f t="shared" si="486"/>
        <v>нет</v>
      </c>
      <c r="BD295" s="5" t="str">
        <f t="shared" si="497"/>
        <v>х</v>
      </c>
      <c r="BE295" s="5" t="str">
        <f t="shared" si="497"/>
        <v>х</v>
      </c>
      <c r="BF295" s="5" t="str">
        <f t="shared" si="497"/>
        <v>х</v>
      </c>
      <c r="BG295" s="5" t="str">
        <f t="shared" ref="BG295:BI296" si="506">"х"</f>
        <v>х</v>
      </c>
      <c r="BH295" s="5" t="str">
        <f t="shared" si="506"/>
        <v>х</v>
      </c>
      <c r="BI295" s="5" t="str">
        <f t="shared" si="506"/>
        <v>х</v>
      </c>
      <c r="BJ295" s="5" t="str">
        <f t="shared" si="487"/>
        <v>нет</v>
      </c>
      <c r="BK295" s="5" t="str">
        <f t="shared" si="502"/>
        <v>х</v>
      </c>
      <c r="BL295" s="5" t="str">
        <f t="shared" si="502"/>
        <v>х</v>
      </c>
      <c r="BM295" s="5" t="str">
        <f t="shared" si="502"/>
        <v>х</v>
      </c>
      <c r="BN295" s="5" t="str">
        <f t="shared" si="489"/>
        <v>нет</v>
      </c>
      <c r="BO295" s="5" t="str">
        <f t="shared" si="503"/>
        <v>х</v>
      </c>
      <c r="BP295" s="5" t="str">
        <f t="shared" si="503"/>
        <v>х</v>
      </c>
      <c r="BQ295" s="5" t="str">
        <f t="shared" si="503"/>
        <v>х</v>
      </c>
      <c r="BR295" s="5" t="str">
        <f>"1972"</f>
        <v>1972</v>
      </c>
      <c r="BS295" s="5" t="str">
        <f>"65,00"</f>
        <v>65,00</v>
      </c>
      <c r="BT295" s="5" t="str">
        <f>"2019"</f>
        <v>2019</v>
      </c>
      <c r="BU295" s="5" t="str">
        <f t="shared" si="453"/>
        <v>нет</v>
      </c>
      <c r="BV295" s="5" t="str">
        <f t="shared" si="458"/>
        <v>x</v>
      </c>
      <c r="BW295" s="5" t="str">
        <f t="shared" si="458"/>
        <v>x</v>
      </c>
      <c r="BX295" s="5" t="str">
        <f t="shared" si="458"/>
        <v>x</v>
      </c>
      <c r="BY295" s="5" t="str">
        <f t="shared" si="452"/>
        <v>нет</v>
      </c>
      <c r="BZ295" s="5" t="str">
        <f t="shared" ref="BZ295:CB296" si="507">"x"</f>
        <v>x</v>
      </c>
      <c r="CA295" s="5" t="str">
        <f t="shared" si="507"/>
        <v>x</v>
      </c>
      <c r="CB295" s="5" t="str">
        <f t="shared" si="507"/>
        <v>x</v>
      </c>
      <c r="CC295" s="5" t="str">
        <f>""</f>
        <v/>
      </c>
      <c r="CD295" s="5" t="str">
        <f>"76,00"</f>
        <v>76,00</v>
      </c>
      <c r="CE295" s="5" t="str">
        <f>"2020"</f>
        <v>2020</v>
      </c>
      <c r="CF295" s="5" t="str">
        <f>""</f>
        <v/>
      </c>
      <c r="CG295" s="5" t="str">
        <f>"64,00"</f>
        <v>64,00</v>
      </c>
      <c r="CH295" s="5" t="str">
        <f>"2019"</f>
        <v>2019</v>
      </c>
      <c r="CI295" s="5" t="str">
        <f>"74,00"</f>
        <v>74,00</v>
      </c>
      <c r="CJ295" s="5" t="str">
        <f>"2020"</f>
        <v>2020</v>
      </c>
    </row>
    <row r="296" spans="1:88" ht="11.25" customHeight="1">
      <c r="A296" s="3" t="str">
        <f>"1.283"</f>
        <v>1.283</v>
      </c>
      <c r="B296" s="4" t="str">
        <f>"г. Грязовец, ул. Соколовская, д.4"</f>
        <v>г. Грязовец, ул. Соколовская, д.4</v>
      </c>
      <c r="C296" s="7" t="str">
        <f>"1969"</f>
        <v>1969</v>
      </c>
      <c r="D296" s="5" t="str">
        <f>"2001"</f>
        <v>2001</v>
      </c>
      <c r="E296" s="5" t="str">
        <f>"24,00"</f>
        <v>24,00</v>
      </c>
      <c r="F296" s="5" t="str">
        <f>"2030"</f>
        <v>2030</v>
      </c>
      <c r="G296" s="5" t="str">
        <f t="shared" si="494"/>
        <v>да</v>
      </c>
      <c r="H296" s="5" t="str">
        <f>""</f>
        <v/>
      </c>
      <c r="I296" s="5" t="str">
        <f>"20,00"</f>
        <v>20,00</v>
      </c>
      <c r="J296" s="5" t="str">
        <f>"2030"</f>
        <v>2030</v>
      </c>
      <c r="K296" s="5" t="str">
        <f t="shared" si="495"/>
        <v>да</v>
      </c>
      <c r="L296" s="5" t="str">
        <f>""</f>
        <v/>
      </c>
      <c r="M296" s="5" t="str">
        <f>"20,00"</f>
        <v>20,00</v>
      </c>
      <c r="N296" s="5" t="str">
        <f>"2030"</f>
        <v>2030</v>
      </c>
      <c r="O296" s="8" t="str">
        <f t="shared" si="504"/>
        <v>х</v>
      </c>
      <c r="P296" s="5" t="str">
        <f t="shared" si="504"/>
        <v>х</v>
      </c>
      <c r="Q296" s="5" t="str">
        <f t="shared" si="504"/>
        <v>х</v>
      </c>
      <c r="R296" s="5" t="str">
        <f t="shared" si="491"/>
        <v>нет</v>
      </c>
      <c r="S296" s="5" t="str">
        <f t="shared" si="498"/>
        <v>х</v>
      </c>
      <c r="T296" s="5" t="str">
        <f t="shared" si="498"/>
        <v>х</v>
      </c>
      <c r="U296" s="5" t="str">
        <f t="shared" si="498"/>
        <v>х</v>
      </c>
      <c r="V296" s="5" t="str">
        <f t="shared" si="492"/>
        <v>нет</v>
      </c>
      <c r="W296" s="5" t="str">
        <f t="shared" si="499"/>
        <v>х</v>
      </c>
      <c r="X296" s="5" t="str">
        <f t="shared" si="499"/>
        <v>х</v>
      </c>
      <c r="Y296" s="9" t="str">
        <f t="shared" si="499"/>
        <v>х</v>
      </c>
      <c r="Z296" s="5" t="str">
        <f>"1969"</f>
        <v>1969</v>
      </c>
      <c r="AA296" s="5" t="str">
        <f>"41,00"</f>
        <v>41,00</v>
      </c>
      <c r="AB296" s="5" t="str">
        <f>"2018"</f>
        <v>2018</v>
      </c>
      <c r="AC296" s="5" t="str">
        <f>"да"</f>
        <v>да</v>
      </c>
      <c r="AD296" s="5" t="str">
        <f>""</f>
        <v/>
      </c>
      <c r="AE296" s="5" t="str">
        <f>"40,00"</f>
        <v>40,00</v>
      </c>
      <c r="AF296" s="5" t="str">
        <f>"2018"</f>
        <v>2018</v>
      </c>
      <c r="AG296" s="5" t="str">
        <f>"да"</f>
        <v>да</v>
      </c>
      <c r="AH296" s="5" t="str">
        <f>""</f>
        <v/>
      </c>
      <c r="AI296" s="5" t="str">
        <f>"40,00"</f>
        <v>40,00</v>
      </c>
      <c r="AJ296" s="5" t="str">
        <f>"2018"</f>
        <v>2018</v>
      </c>
      <c r="AK296" s="8" t="str">
        <f>"1969"</f>
        <v>1969</v>
      </c>
      <c r="AL296" s="5" t="str">
        <f>"54,00"</f>
        <v>54,00</v>
      </c>
      <c r="AM296" s="5" t="str">
        <f>"2017"</f>
        <v>2017</v>
      </c>
      <c r="AN296" s="5" t="str">
        <f t="shared" si="482"/>
        <v>нет</v>
      </c>
      <c r="AO296" s="5" t="str">
        <f t="shared" si="500"/>
        <v>х</v>
      </c>
      <c r="AP296" s="5" t="str">
        <f t="shared" si="500"/>
        <v>х</v>
      </c>
      <c r="AQ296" s="5" t="str">
        <f t="shared" si="500"/>
        <v>х</v>
      </c>
      <c r="AR296" s="5" t="str">
        <f t="shared" si="493"/>
        <v>нет</v>
      </c>
      <c r="AS296" s="5" t="str">
        <f t="shared" si="501"/>
        <v>х</v>
      </c>
      <c r="AT296" s="5" t="str">
        <f t="shared" si="501"/>
        <v>х</v>
      </c>
      <c r="AU296" s="5" t="str">
        <f t="shared" si="501"/>
        <v>х</v>
      </c>
      <c r="AV296" s="5" t="str">
        <f t="shared" si="505"/>
        <v>х</v>
      </c>
      <c r="AW296" s="5" t="str">
        <f t="shared" si="505"/>
        <v>х</v>
      </c>
      <c r="AX296" s="5" t="str">
        <f t="shared" si="505"/>
        <v>х</v>
      </c>
      <c r="AY296" s="5" t="str">
        <f t="shared" si="485"/>
        <v>нет</v>
      </c>
      <c r="AZ296" s="5" t="str">
        <f t="shared" si="496"/>
        <v>х</v>
      </c>
      <c r="BA296" s="5" t="str">
        <f t="shared" si="496"/>
        <v>х</v>
      </c>
      <c r="BB296" s="5" t="str">
        <f t="shared" si="496"/>
        <v>х</v>
      </c>
      <c r="BC296" s="5" t="str">
        <f t="shared" si="486"/>
        <v>нет</v>
      </c>
      <c r="BD296" s="5" t="str">
        <f t="shared" si="497"/>
        <v>х</v>
      </c>
      <c r="BE296" s="5" t="str">
        <f t="shared" si="497"/>
        <v>х</v>
      </c>
      <c r="BF296" s="5" t="str">
        <f t="shared" si="497"/>
        <v>х</v>
      </c>
      <c r="BG296" s="5" t="str">
        <f t="shared" si="506"/>
        <v>х</v>
      </c>
      <c r="BH296" s="5" t="str">
        <f t="shared" si="506"/>
        <v>х</v>
      </c>
      <c r="BI296" s="5" t="str">
        <f t="shared" si="506"/>
        <v>х</v>
      </c>
      <c r="BJ296" s="5" t="str">
        <f t="shared" si="487"/>
        <v>нет</v>
      </c>
      <c r="BK296" s="5" t="str">
        <f t="shared" si="502"/>
        <v>х</v>
      </c>
      <c r="BL296" s="5" t="str">
        <f t="shared" si="502"/>
        <v>х</v>
      </c>
      <c r="BM296" s="5" t="str">
        <f t="shared" si="502"/>
        <v>х</v>
      </c>
      <c r="BN296" s="5" t="str">
        <f t="shared" si="489"/>
        <v>нет</v>
      </c>
      <c r="BO296" s="5" t="str">
        <f t="shared" si="503"/>
        <v>х</v>
      </c>
      <c r="BP296" s="5" t="str">
        <f t="shared" si="503"/>
        <v>х</v>
      </c>
      <c r="BQ296" s="5" t="str">
        <f t="shared" si="503"/>
        <v>х</v>
      </c>
      <c r="BR296" s="5" t="str">
        <f>"1969"</f>
        <v>1969</v>
      </c>
      <c r="BS296" s="5" t="str">
        <f>"60,00"</f>
        <v>60,00</v>
      </c>
      <c r="BT296" s="5" t="str">
        <f>"2018"</f>
        <v>2018</v>
      </c>
      <c r="BU296" s="5" t="str">
        <f t="shared" si="453"/>
        <v>нет</v>
      </c>
      <c r="BV296" s="5" t="str">
        <f t="shared" si="458"/>
        <v>x</v>
      </c>
      <c r="BW296" s="5" t="str">
        <f t="shared" si="458"/>
        <v>x</v>
      </c>
      <c r="BX296" s="5" t="str">
        <f t="shared" si="458"/>
        <v>x</v>
      </c>
      <c r="BY296" s="5" t="str">
        <f t="shared" si="452"/>
        <v>нет</v>
      </c>
      <c r="BZ296" s="5" t="str">
        <f t="shared" si="507"/>
        <v>x</v>
      </c>
      <c r="CA296" s="5" t="str">
        <f t="shared" si="507"/>
        <v>x</v>
      </c>
      <c r="CB296" s="5" t="str">
        <f t="shared" si="507"/>
        <v>x</v>
      </c>
      <c r="CC296" s="5" t="str">
        <f>"1969"</f>
        <v>1969</v>
      </c>
      <c r="CD296" s="5" t="str">
        <f>"64,00"</f>
        <v>64,00</v>
      </c>
      <c r="CE296" s="5" t="str">
        <f>"2018"</f>
        <v>2018</v>
      </c>
      <c r="CF296" s="5" t="str">
        <f>"1969"</f>
        <v>1969</v>
      </c>
      <c r="CG296" s="5" t="str">
        <f>"56,00"</f>
        <v>56,00</v>
      </c>
      <c r="CH296" s="5" t="str">
        <f>"2020"</f>
        <v>2020</v>
      </c>
      <c r="CI296" s="5" t="str">
        <f>"44,00"</f>
        <v>44,00</v>
      </c>
      <c r="CJ296" s="5" t="str">
        <f>"2030"</f>
        <v>2030</v>
      </c>
    </row>
    <row r="297" spans="1:88" ht="11.25" customHeight="1">
      <c r="A297" s="3" t="str">
        <f>"1.284"</f>
        <v>1.284</v>
      </c>
      <c r="B297" s="4" t="str">
        <f>"г. Грязовец, ул. Строителей, д.4"</f>
        <v>г. Грязовец, ул. Строителей, д.4</v>
      </c>
      <c r="C297" s="7" t="str">
        <f>"1987"</f>
        <v>1987</v>
      </c>
      <c r="D297" s="5" t="str">
        <f>"2007"</f>
        <v>2007</v>
      </c>
      <c r="E297" s="5" t="str">
        <f>"8,00"</f>
        <v>8,00</v>
      </c>
      <c r="F297" s="5" t="str">
        <f>"2032"</f>
        <v>2032</v>
      </c>
      <c r="G297" s="5" t="str">
        <f t="shared" si="494"/>
        <v>да</v>
      </c>
      <c r="H297" s="5" t="str">
        <f>""</f>
        <v/>
      </c>
      <c r="I297" s="5" t="str">
        <f>"5,00"</f>
        <v>5,00</v>
      </c>
      <c r="J297" s="5" t="str">
        <f>"2032"</f>
        <v>2032</v>
      </c>
      <c r="K297" s="5" t="str">
        <f t="shared" si="495"/>
        <v>да</v>
      </c>
      <c r="L297" s="5" t="str">
        <f>""</f>
        <v/>
      </c>
      <c r="M297" s="5" t="str">
        <f>"5,00"</f>
        <v>5,00</v>
      </c>
      <c r="N297" s="5" t="str">
        <f>"2032"</f>
        <v>2032</v>
      </c>
      <c r="O297" s="8" t="str">
        <f>"1987"</f>
        <v>1987</v>
      </c>
      <c r="P297" s="5" t="str">
        <f>"36,00"</f>
        <v>36,00</v>
      </c>
      <c r="Q297" s="5" t="str">
        <f>"2026"</f>
        <v>2026</v>
      </c>
      <c r="R297" s="5" t="str">
        <f t="shared" si="491"/>
        <v>нет</v>
      </c>
      <c r="S297" s="5" t="str">
        <f>""</f>
        <v/>
      </c>
      <c r="T297" s="5" t="str">
        <f>""</f>
        <v/>
      </c>
      <c r="U297" s="5" t="str">
        <f>""</f>
        <v/>
      </c>
      <c r="V297" s="5" t="str">
        <f t="shared" si="492"/>
        <v>нет</v>
      </c>
      <c r="W297" s="5" t="str">
        <f>""</f>
        <v/>
      </c>
      <c r="X297" s="5" t="str">
        <f>""</f>
        <v/>
      </c>
      <c r="Y297" s="9" t="str">
        <f>""</f>
        <v/>
      </c>
      <c r="Z297" s="5" t="str">
        <f>"1987"</f>
        <v>1987</v>
      </c>
      <c r="AA297" s="5" t="str">
        <f>"24,00"</f>
        <v>24,00</v>
      </c>
      <c r="AB297" s="5" t="str">
        <f>"2023"</f>
        <v>2023</v>
      </c>
      <c r="AC297" s="5" t="str">
        <f>"да"</f>
        <v>да</v>
      </c>
      <c r="AD297" s="5" t="str">
        <f t="shared" ref="AD297:AF298" si="508">"х"</f>
        <v>х</v>
      </c>
      <c r="AE297" s="5" t="str">
        <f t="shared" si="508"/>
        <v>х</v>
      </c>
      <c r="AF297" s="5" t="str">
        <f t="shared" si="508"/>
        <v>х</v>
      </c>
      <c r="AG297" s="5" t="str">
        <f>"да"</f>
        <v>да</v>
      </c>
      <c r="AH297" s="5" t="str">
        <f t="shared" ref="AH297:AJ298" si="509">"х"</f>
        <v>х</v>
      </c>
      <c r="AI297" s="5" t="str">
        <f t="shared" si="509"/>
        <v>х</v>
      </c>
      <c r="AJ297" s="5" t="str">
        <f t="shared" si="509"/>
        <v>х</v>
      </c>
      <c r="AK297" s="8" t="str">
        <f>"1987"</f>
        <v>1987</v>
      </c>
      <c r="AL297" s="5" t="str">
        <f>"51,00"</f>
        <v>51,00</v>
      </c>
      <c r="AM297" s="5" t="str">
        <f>"2024"</f>
        <v>2024</v>
      </c>
      <c r="AN297" s="5" t="str">
        <f>"да"</f>
        <v>да</v>
      </c>
      <c r="AO297" s="5" t="str">
        <f>""</f>
        <v/>
      </c>
      <c r="AP297" s="5" t="str">
        <f>"45,00"</f>
        <v>45,00</v>
      </c>
      <c r="AQ297" s="5" t="str">
        <f>"2024"</f>
        <v>2024</v>
      </c>
      <c r="AR297" s="5" t="str">
        <f>"да"</f>
        <v>да</v>
      </c>
      <c r="AS297" s="5" t="str">
        <f>""</f>
        <v/>
      </c>
      <c r="AT297" s="5" t="str">
        <f>"45,00"</f>
        <v>45,00</v>
      </c>
      <c r="AU297" s="5" t="str">
        <f>"2024"</f>
        <v>2024</v>
      </c>
      <c r="AV297" s="5" t="str">
        <f t="shared" si="505"/>
        <v>х</v>
      </c>
      <c r="AW297" s="5" t="str">
        <f t="shared" si="505"/>
        <v>х</v>
      </c>
      <c r="AX297" s="5" t="str">
        <f t="shared" si="505"/>
        <v>х</v>
      </c>
      <c r="AY297" s="5" t="str">
        <f t="shared" si="485"/>
        <v>нет</v>
      </c>
      <c r="AZ297" s="5" t="str">
        <f t="shared" si="496"/>
        <v>х</v>
      </c>
      <c r="BA297" s="5" t="str">
        <f t="shared" si="496"/>
        <v>х</v>
      </c>
      <c r="BB297" s="5" t="str">
        <f t="shared" si="496"/>
        <v>х</v>
      </c>
      <c r="BC297" s="5" t="str">
        <f t="shared" si="486"/>
        <v>нет</v>
      </c>
      <c r="BD297" s="5" t="str">
        <f t="shared" si="497"/>
        <v>х</v>
      </c>
      <c r="BE297" s="5" t="str">
        <f t="shared" si="497"/>
        <v>х</v>
      </c>
      <c r="BF297" s="5" t="str">
        <f t="shared" si="497"/>
        <v>х</v>
      </c>
      <c r="BG297" s="5" t="str">
        <f>"1987"</f>
        <v>1987</v>
      </c>
      <c r="BH297" s="5" t="str">
        <f>"62,00"</f>
        <v>62,00</v>
      </c>
      <c r="BI297" s="5" t="str">
        <f>"2019"</f>
        <v>2019</v>
      </c>
      <c r="BJ297" s="5" t="str">
        <f t="shared" si="487"/>
        <v>нет</v>
      </c>
      <c r="BK297" s="5" t="str">
        <f>""</f>
        <v/>
      </c>
      <c r="BL297" s="5" t="str">
        <f>""</f>
        <v/>
      </c>
      <c r="BM297" s="5" t="str">
        <f>""</f>
        <v/>
      </c>
      <c r="BN297" s="5" t="str">
        <f t="shared" si="489"/>
        <v>нет</v>
      </c>
      <c r="BO297" s="5" t="str">
        <f>""</f>
        <v/>
      </c>
      <c r="BP297" s="5" t="str">
        <f>""</f>
        <v/>
      </c>
      <c r="BQ297" s="5" t="str">
        <f>""</f>
        <v/>
      </c>
      <c r="BR297" s="5" t="str">
        <f>"2007"</f>
        <v>2007</v>
      </c>
      <c r="BS297" s="5" t="str">
        <f>"10,00"</f>
        <v>10,00</v>
      </c>
      <c r="BT297" s="5" t="str">
        <f>"2035"</f>
        <v>2035</v>
      </c>
      <c r="BU297" s="5" t="str">
        <f t="shared" si="453"/>
        <v>нет</v>
      </c>
      <c r="BV297" s="5" t="str">
        <f t="shared" si="458"/>
        <v>x</v>
      </c>
      <c r="BW297" s="5" t="str">
        <f t="shared" si="458"/>
        <v>x</v>
      </c>
      <c r="BX297" s="5" t="str">
        <f t="shared" si="458"/>
        <v>x</v>
      </c>
      <c r="BY297" s="5" t="str">
        <f t="shared" si="452"/>
        <v>нет</v>
      </c>
      <c r="BZ297" s="5" t="str">
        <f>"1987"</f>
        <v>1987</v>
      </c>
      <c r="CA297" s="5" t="str">
        <f>"42,00"</f>
        <v>42,00</v>
      </c>
      <c r="CB297" s="5" t="str">
        <f>"2025"</f>
        <v>2025</v>
      </c>
      <c r="CC297" s="5" t="str">
        <f>"1987"</f>
        <v>1987</v>
      </c>
      <c r="CD297" s="5" t="str">
        <f>"10,00"</f>
        <v>10,00</v>
      </c>
      <c r="CE297" s="5" t="str">
        <f>"2030"</f>
        <v>2030</v>
      </c>
      <c r="CF297" s="5" t="str">
        <f>"1987"</f>
        <v>1987</v>
      </c>
      <c r="CG297" s="5" t="str">
        <f>"15,00"</f>
        <v>15,00</v>
      </c>
      <c r="CH297" s="5" t="str">
        <f>"2035"</f>
        <v>2035</v>
      </c>
      <c r="CI297" s="5" t="str">
        <f>"26,00"</f>
        <v>26,00</v>
      </c>
      <c r="CJ297" s="5" t="str">
        <f>"2035"</f>
        <v>2035</v>
      </c>
    </row>
    <row r="298" spans="1:88" ht="11.25" customHeight="1">
      <c r="A298" s="3" t="str">
        <f>"1.285"</f>
        <v>1.285</v>
      </c>
      <c r="B298" s="4" t="str">
        <f>"г. Грязовец, ул. Строителей, д.6"</f>
        <v>г. Грязовец, ул. Строителей, д.6</v>
      </c>
      <c r="C298" s="7" t="str">
        <f>"1970"</f>
        <v>1970</v>
      </c>
      <c r="D298" s="5" t="str">
        <f t="shared" ref="D298:AC298" si="510">"х"</f>
        <v>х</v>
      </c>
      <c r="E298" s="5" t="str">
        <f t="shared" si="510"/>
        <v>х</v>
      </c>
      <c r="F298" s="5" t="str">
        <f t="shared" si="510"/>
        <v>х</v>
      </c>
      <c r="G298" s="5" t="str">
        <f t="shared" si="510"/>
        <v>х</v>
      </c>
      <c r="H298" s="5" t="str">
        <f t="shared" si="510"/>
        <v>х</v>
      </c>
      <c r="I298" s="5" t="str">
        <f t="shared" si="510"/>
        <v>х</v>
      </c>
      <c r="J298" s="5" t="str">
        <f t="shared" si="510"/>
        <v>х</v>
      </c>
      <c r="K298" s="5" t="str">
        <f t="shared" si="510"/>
        <v>х</v>
      </c>
      <c r="L298" s="5" t="str">
        <f t="shared" si="510"/>
        <v>х</v>
      </c>
      <c r="M298" s="5" t="str">
        <f t="shared" si="510"/>
        <v>х</v>
      </c>
      <c r="N298" s="5" t="str">
        <f t="shared" si="510"/>
        <v>х</v>
      </c>
      <c r="O298" s="8" t="str">
        <f t="shared" si="510"/>
        <v>х</v>
      </c>
      <c r="P298" s="5" t="str">
        <f t="shared" si="510"/>
        <v>х</v>
      </c>
      <c r="Q298" s="5" t="str">
        <f t="shared" si="510"/>
        <v>х</v>
      </c>
      <c r="R298" s="5" t="str">
        <f t="shared" si="510"/>
        <v>х</v>
      </c>
      <c r="S298" s="5" t="str">
        <f t="shared" si="510"/>
        <v>х</v>
      </c>
      <c r="T298" s="5" t="str">
        <f t="shared" si="510"/>
        <v>х</v>
      </c>
      <c r="U298" s="5" t="str">
        <f t="shared" si="510"/>
        <v>х</v>
      </c>
      <c r="V298" s="5" t="str">
        <f t="shared" si="510"/>
        <v>х</v>
      </c>
      <c r="W298" s="5" t="str">
        <f t="shared" si="510"/>
        <v>х</v>
      </c>
      <c r="X298" s="5" t="str">
        <f t="shared" si="510"/>
        <v>х</v>
      </c>
      <c r="Y298" s="9" t="str">
        <f t="shared" si="510"/>
        <v>х</v>
      </c>
      <c r="Z298" s="5" t="str">
        <f t="shared" si="510"/>
        <v>х</v>
      </c>
      <c r="AA298" s="5" t="str">
        <f t="shared" si="510"/>
        <v>х</v>
      </c>
      <c r="AB298" s="5" t="str">
        <f t="shared" si="510"/>
        <v>х</v>
      </c>
      <c r="AC298" s="5" t="str">
        <f t="shared" si="510"/>
        <v>х</v>
      </c>
      <c r="AD298" s="5" t="str">
        <f t="shared" si="508"/>
        <v>х</v>
      </c>
      <c r="AE298" s="5" t="str">
        <f t="shared" si="508"/>
        <v>х</v>
      </c>
      <c r="AF298" s="5" t="str">
        <f t="shared" si="508"/>
        <v>х</v>
      </c>
      <c r="AG298" s="5" t="str">
        <f>"х"</f>
        <v>х</v>
      </c>
      <c r="AH298" s="5" t="str">
        <f t="shared" si="509"/>
        <v>х</v>
      </c>
      <c r="AI298" s="5" t="str">
        <f t="shared" si="509"/>
        <v>х</v>
      </c>
      <c r="AJ298" s="5" t="str">
        <f t="shared" si="509"/>
        <v>х</v>
      </c>
      <c r="AK298" s="8" t="str">
        <f t="shared" ref="AK298:AU298" si="511">"х"</f>
        <v>х</v>
      </c>
      <c r="AL298" s="5" t="str">
        <f t="shared" si="511"/>
        <v>х</v>
      </c>
      <c r="AM298" s="5" t="str">
        <f t="shared" si="511"/>
        <v>х</v>
      </c>
      <c r="AN298" s="5" t="str">
        <f t="shared" si="511"/>
        <v>х</v>
      </c>
      <c r="AO298" s="5" t="str">
        <f t="shared" si="511"/>
        <v>х</v>
      </c>
      <c r="AP298" s="5" t="str">
        <f t="shared" si="511"/>
        <v>х</v>
      </c>
      <c r="AQ298" s="5" t="str">
        <f t="shared" si="511"/>
        <v>х</v>
      </c>
      <c r="AR298" s="5" t="str">
        <f t="shared" si="511"/>
        <v>х</v>
      </c>
      <c r="AS298" s="5" t="str">
        <f t="shared" si="511"/>
        <v>х</v>
      </c>
      <c r="AT298" s="5" t="str">
        <f t="shared" si="511"/>
        <v>х</v>
      </c>
      <c r="AU298" s="5" t="str">
        <f t="shared" si="511"/>
        <v>х</v>
      </c>
      <c r="AV298" s="5" t="str">
        <f t="shared" si="505"/>
        <v>х</v>
      </c>
      <c r="AW298" s="5" t="str">
        <f t="shared" si="505"/>
        <v>х</v>
      </c>
      <c r="AX298" s="5" t="str">
        <f t="shared" si="505"/>
        <v>х</v>
      </c>
      <c r="AY298" s="5" t="str">
        <f>"х"</f>
        <v>х</v>
      </c>
      <c r="AZ298" s="5" t="str">
        <f t="shared" si="496"/>
        <v>х</v>
      </c>
      <c r="BA298" s="5" t="str">
        <f t="shared" si="496"/>
        <v>х</v>
      </c>
      <c r="BB298" s="5" t="str">
        <f t="shared" si="496"/>
        <v>х</v>
      </c>
      <c r="BC298" s="5" t="str">
        <f>"х"</f>
        <v>х</v>
      </c>
      <c r="BD298" s="5" t="str">
        <f t="shared" si="497"/>
        <v>х</v>
      </c>
      <c r="BE298" s="5" t="str">
        <f t="shared" si="497"/>
        <v>х</v>
      </c>
      <c r="BF298" s="5" t="str">
        <f t="shared" si="497"/>
        <v>х</v>
      </c>
      <c r="BG298" s="5" t="str">
        <f t="shared" ref="BG298:BQ298" si="512">"х"</f>
        <v>х</v>
      </c>
      <c r="BH298" s="5" t="str">
        <f t="shared" si="512"/>
        <v>х</v>
      </c>
      <c r="BI298" s="5" t="str">
        <f t="shared" si="512"/>
        <v>х</v>
      </c>
      <c r="BJ298" s="5" t="str">
        <f t="shared" si="512"/>
        <v>х</v>
      </c>
      <c r="BK298" s="5" t="str">
        <f t="shared" si="512"/>
        <v>х</v>
      </c>
      <c r="BL298" s="5" t="str">
        <f t="shared" si="512"/>
        <v>х</v>
      </c>
      <c r="BM298" s="5" t="str">
        <f t="shared" si="512"/>
        <v>х</v>
      </c>
      <c r="BN298" s="5" t="str">
        <f t="shared" si="512"/>
        <v>х</v>
      </c>
      <c r="BO298" s="5" t="str">
        <f t="shared" si="512"/>
        <v>х</v>
      </c>
      <c r="BP298" s="5" t="str">
        <f t="shared" si="512"/>
        <v>х</v>
      </c>
      <c r="BQ298" s="5" t="str">
        <f t="shared" si="512"/>
        <v>х</v>
      </c>
      <c r="BR298" s="5" t="str">
        <f>""</f>
        <v/>
      </c>
      <c r="BS298" s="5" t="str">
        <f>"65,00"</f>
        <v>65,00</v>
      </c>
      <c r="BT298" s="5" t="str">
        <f>"2019"</f>
        <v>2019</v>
      </c>
      <c r="BU298" s="5" t="str">
        <f t="shared" si="453"/>
        <v>нет</v>
      </c>
      <c r="BV298" s="5" t="str">
        <f t="shared" si="458"/>
        <v>x</v>
      </c>
      <c r="BW298" s="5" t="str">
        <f t="shared" si="458"/>
        <v>x</v>
      </c>
      <c r="BX298" s="5" t="str">
        <f t="shared" si="458"/>
        <v>x</v>
      </c>
      <c r="BY298" s="5" t="str">
        <f t="shared" si="452"/>
        <v>нет</v>
      </c>
      <c r="BZ298" s="5" t="str">
        <f>"x"</f>
        <v>x</v>
      </c>
      <c r="CA298" s="5" t="str">
        <f>"x"</f>
        <v>x</v>
      </c>
      <c r="CB298" s="5" t="str">
        <f>"x"</f>
        <v>x</v>
      </c>
      <c r="CC298" s="5" t="str">
        <f>""</f>
        <v/>
      </c>
      <c r="CD298" s="5" t="str">
        <f>"35,00"</f>
        <v>35,00</v>
      </c>
      <c r="CE298" s="5" t="str">
        <f>"2019"</f>
        <v>2019</v>
      </c>
      <c r="CF298" s="5" t="str">
        <f>""</f>
        <v/>
      </c>
      <c r="CG298" s="5" t="str">
        <f>"35,00"</f>
        <v>35,00</v>
      </c>
      <c r="CH298" s="5" t="str">
        <f>"2020"</f>
        <v>2020</v>
      </c>
      <c r="CI298" s="5" t="str">
        <f>"52,00"</f>
        <v>52,00</v>
      </c>
      <c r="CJ298" s="5" t="str">
        <f>"2020"</f>
        <v>2020</v>
      </c>
    </row>
    <row r="299" spans="1:88" ht="11.25" customHeight="1">
      <c r="A299" s="3" t="str">
        <f>"1.286"</f>
        <v>1.286</v>
      </c>
      <c r="B299" s="4" t="str">
        <f>"г. Грязовец, ул. Студенческая, д.23"</f>
        <v>г. Грязовец, ул. Студенческая, д.23</v>
      </c>
      <c r="C299" s="7" t="str">
        <f>"1999"</f>
        <v>1999</v>
      </c>
      <c r="D299" s="5" t="str">
        <f>""</f>
        <v/>
      </c>
      <c r="E299" s="5" t="str">
        <f>"10,00"</f>
        <v>10,00</v>
      </c>
      <c r="F299" s="5" t="str">
        <f>"2035"</f>
        <v>2035</v>
      </c>
      <c r="G299" s="5" t="str">
        <f t="shared" ref="G299:G304" si="513">"да"</f>
        <v>да</v>
      </c>
      <c r="H299" s="5" t="str">
        <f>""</f>
        <v/>
      </c>
      <c r="I299" s="5" t="str">
        <f>"10,00"</f>
        <v>10,00</v>
      </c>
      <c r="J299" s="5" t="str">
        <f>"2035"</f>
        <v>2035</v>
      </c>
      <c r="K299" s="5" t="str">
        <f t="shared" ref="K299:K304" si="514">"да"</f>
        <v>да</v>
      </c>
      <c r="L299" s="5" t="str">
        <f>""</f>
        <v/>
      </c>
      <c r="M299" s="5" t="str">
        <f>"10,00"</f>
        <v>10,00</v>
      </c>
      <c r="N299" s="5" t="str">
        <f>"2035"</f>
        <v>2035</v>
      </c>
      <c r="O299" s="8" t="str">
        <f>""</f>
        <v/>
      </c>
      <c r="P299" s="5" t="str">
        <f>"18,00"</f>
        <v>18,00</v>
      </c>
      <c r="Q299" s="5" t="str">
        <f>"2032"</f>
        <v>2032</v>
      </c>
      <c r="R299" s="5" t="str">
        <f>"нет"</f>
        <v>нет</v>
      </c>
      <c r="S299" s="5" t="str">
        <f>""</f>
        <v/>
      </c>
      <c r="T299" s="5" t="str">
        <f>""</f>
        <v/>
      </c>
      <c r="U299" s="5" t="str">
        <f>""</f>
        <v/>
      </c>
      <c r="V299" s="5" t="str">
        <f>"нет"</f>
        <v>нет</v>
      </c>
      <c r="W299" s="5" t="str">
        <f>""</f>
        <v/>
      </c>
      <c r="X299" s="5" t="str">
        <f>""</f>
        <v/>
      </c>
      <c r="Y299" s="9" t="str">
        <f>""</f>
        <v/>
      </c>
      <c r="Z299" s="5" t="str">
        <f>""</f>
        <v/>
      </c>
      <c r="AA299" s="5" t="str">
        <f>"12,00"</f>
        <v>12,00</v>
      </c>
      <c r="AB299" s="5" t="str">
        <f>"2030"</f>
        <v>2030</v>
      </c>
      <c r="AC299" s="5" t="str">
        <f>"да"</f>
        <v>да</v>
      </c>
      <c r="AD299" s="5" t="str">
        <f>""</f>
        <v/>
      </c>
      <c r="AE299" s="5" t="str">
        <f>"10,00"</f>
        <v>10,00</v>
      </c>
      <c r="AF299" s="5" t="str">
        <f>"2030"</f>
        <v>2030</v>
      </c>
      <c r="AG299" s="5" t="str">
        <f>"да"</f>
        <v>да</v>
      </c>
      <c r="AH299" s="5" t="str">
        <f>""</f>
        <v/>
      </c>
      <c r="AI299" s="5" t="str">
        <f>"10,00"</f>
        <v>10,00</v>
      </c>
      <c r="AJ299" s="5" t="str">
        <f>"2030"</f>
        <v>2030</v>
      </c>
      <c r="AK299" s="8" t="str">
        <f>""</f>
        <v/>
      </c>
      <c r="AL299" s="5" t="str">
        <f>"20,00"</f>
        <v>20,00</v>
      </c>
      <c r="AM299" s="5" t="str">
        <f>"2035"</f>
        <v>2035</v>
      </c>
      <c r="AN299" s="5" t="str">
        <f>"да"</f>
        <v>да</v>
      </c>
      <c r="AO299" s="5" t="str">
        <f>""</f>
        <v/>
      </c>
      <c r="AP299" s="5" t="str">
        <f>"18,00"</f>
        <v>18,00</v>
      </c>
      <c r="AQ299" s="5" t="str">
        <f>"2035"</f>
        <v>2035</v>
      </c>
      <c r="AR299" s="5" t="str">
        <f>"да"</f>
        <v>да</v>
      </c>
      <c r="AS299" s="5" t="str">
        <f>""</f>
        <v/>
      </c>
      <c r="AT299" s="5" t="str">
        <f>"18,00"</f>
        <v>18,00</v>
      </c>
      <c r="AU299" s="5" t="str">
        <f>"2035"</f>
        <v>2035</v>
      </c>
      <c r="AV299" s="5" t="str">
        <f>""</f>
        <v/>
      </c>
      <c r="AW299" s="5" t="str">
        <f>"15,00"</f>
        <v>15,00</v>
      </c>
      <c r="AX299" s="5" t="str">
        <f>"2032"</f>
        <v>2032</v>
      </c>
      <c r="AY299" s="5" t="str">
        <f>"нет"</f>
        <v>нет</v>
      </c>
      <c r="AZ299" s="5" t="str">
        <f>""</f>
        <v/>
      </c>
      <c r="BA299" s="5" t="str">
        <f>""</f>
        <v/>
      </c>
      <c r="BB299" s="5" t="str">
        <f>""</f>
        <v/>
      </c>
      <c r="BC299" s="5" t="str">
        <f>"нет"</f>
        <v>нет</v>
      </c>
      <c r="BD299" s="5" t="str">
        <f>""</f>
        <v/>
      </c>
      <c r="BE299" s="5" t="str">
        <f>""</f>
        <v/>
      </c>
      <c r="BF299" s="5" t="str">
        <f>""</f>
        <v/>
      </c>
      <c r="BG299" s="5" t="str">
        <f>""</f>
        <v/>
      </c>
      <c r="BH299" s="5" t="str">
        <f>"20,00"</f>
        <v>20,00</v>
      </c>
      <c r="BI299" s="5" t="str">
        <f>"2029"</f>
        <v>2029</v>
      </c>
      <c r="BJ299" s="5" t="str">
        <f t="shared" ref="BJ299:BJ313" si="515">"нет"</f>
        <v>нет</v>
      </c>
      <c r="BK299" s="5" t="str">
        <f>""</f>
        <v/>
      </c>
      <c r="BL299" s="5" t="str">
        <f>""</f>
        <v/>
      </c>
      <c r="BM299" s="5" t="str">
        <f>""</f>
        <v/>
      </c>
      <c r="BN299" s="5" t="str">
        <f t="shared" ref="BN299:BN313" si="516">"нет"</f>
        <v>нет</v>
      </c>
      <c r="BO299" s="5" t="str">
        <f>""</f>
        <v/>
      </c>
      <c r="BP299" s="5" t="str">
        <f>""</f>
        <v/>
      </c>
      <c r="BQ299" s="5" t="str">
        <f>""</f>
        <v/>
      </c>
      <c r="BR299" s="5" t="str">
        <f>""</f>
        <v/>
      </c>
      <c r="BS299" s="5" t="str">
        <f>"25,00"</f>
        <v>25,00</v>
      </c>
      <c r="BT299" s="5" t="str">
        <f>"2029"</f>
        <v>2029</v>
      </c>
      <c r="BU299" s="5" t="str">
        <f>"да"</f>
        <v>да</v>
      </c>
      <c r="BV299" s="5" t="str">
        <f>""</f>
        <v/>
      </c>
      <c r="BW299" s="5" t="str">
        <f>"25,00"</f>
        <v>25,00</v>
      </c>
      <c r="BX299" s="5" t="str">
        <f>"2023"</f>
        <v>2023</v>
      </c>
      <c r="BY299" s="5" t="str">
        <f t="shared" si="452"/>
        <v>нет</v>
      </c>
      <c r="BZ299" s="5" t="str">
        <f>"x"</f>
        <v>x</v>
      </c>
      <c r="CA299" s="5" t="str">
        <f>"10,00"</f>
        <v>10,00</v>
      </c>
      <c r="CB299" s="5" t="str">
        <f>"2035"</f>
        <v>2035</v>
      </c>
      <c r="CC299" s="5" t="str">
        <f>""</f>
        <v/>
      </c>
      <c r="CD299" s="5" t="str">
        <f>"15,00"</f>
        <v>15,00</v>
      </c>
      <c r="CE299" s="5" t="str">
        <f>"2030"</f>
        <v>2030</v>
      </c>
      <c r="CF299" s="5" t="str">
        <f>""</f>
        <v/>
      </c>
      <c r="CG299" s="5" t="str">
        <f>"5,00"</f>
        <v>5,00</v>
      </c>
      <c r="CH299" s="5" t="str">
        <f>"2035"</f>
        <v>2035</v>
      </c>
      <c r="CI299" s="5" t="str">
        <f>"16,00"</f>
        <v>16,00</v>
      </c>
      <c r="CJ299" s="5" t="str">
        <f>"2040"</f>
        <v>2040</v>
      </c>
    </row>
    <row r="300" spans="1:88" ht="11.25" customHeight="1">
      <c r="A300" s="3" t="str">
        <f>"1.287"</f>
        <v>1.287</v>
      </c>
      <c r="B300" s="4" t="str">
        <f>"г. Грязовец, ул. Студенческая, д.27"</f>
        <v>г. Грязовец, ул. Студенческая, д.27</v>
      </c>
      <c r="C300" s="7" t="str">
        <f>"1982"</f>
        <v>1982</v>
      </c>
      <c r="D300" s="5" t="str">
        <f>""</f>
        <v/>
      </c>
      <c r="E300" s="5" t="str">
        <f>"10,00"</f>
        <v>10,00</v>
      </c>
      <c r="F300" s="5" t="str">
        <f>"2032"</f>
        <v>2032</v>
      </c>
      <c r="G300" s="5" t="str">
        <f t="shared" si="513"/>
        <v>да</v>
      </c>
      <c r="H300" s="5" t="str">
        <f>""</f>
        <v/>
      </c>
      <c r="I300" s="5" t="str">
        <f>"10,00"</f>
        <v>10,00</v>
      </c>
      <c r="J300" s="5" t="str">
        <f>"2032"</f>
        <v>2032</v>
      </c>
      <c r="K300" s="5" t="str">
        <f t="shared" si="514"/>
        <v>да</v>
      </c>
      <c r="L300" s="5" t="str">
        <f>""</f>
        <v/>
      </c>
      <c r="M300" s="5" t="str">
        <f>"10,00"</f>
        <v>10,00</v>
      </c>
      <c r="N300" s="5" t="str">
        <f>"2032"</f>
        <v>2032</v>
      </c>
      <c r="O300" s="8" t="str">
        <f>""</f>
        <v/>
      </c>
      <c r="P300" s="5" t="str">
        <f>"15,00"</f>
        <v>15,00</v>
      </c>
      <c r="Q300" s="5" t="str">
        <f>"2032"</f>
        <v>2032</v>
      </c>
      <c r="R300" s="5" t="str">
        <f>"да"</f>
        <v>да</v>
      </c>
      <c r="S300" s="5" t="str">
        <f>""</f>
        <v/>
      </c>
      <c r="T300" s="5" t="str">
        <f>"15,00"</f>
        <v>15,00</v>
      </c>
      <c r="U300" s="5" t="str">
        <f>"2032"</f>
        <v>2032</v>
      </c>
      <c r="V300" s="5" t="str">
        <f>"да"</f>
        <v>да</v>
      </c>
      <c r="W300" s="5" t="str">
        <f>""</f>
        <v/>
      </c>
      <c r="X300" s="5" t="str">
        <f>"15,00"</f>
        <v>15,00</v>
      </c>
      <c r="Y300" s="9" t="str">
        <f>"2032"</f>
        <v>2032</v>
      </c>
      <c r="Z300" s="5" t="str">
        <f>""</f>
        <v/>
      </c>
      <c r="AA300" s="5" t="str">
        <f>"12,00"</f>
        <v>12,00</v>
      </c>
      <c r="AB300" s="5" t="str">
        <f>"2034"</f>
        <v>2034</v>
      </c>
      <c r="AC300" s="5" t="str">
        <f>"да"</f>
        <v>да</v>
      </c>
      <c r="AD300" s="5" t="str">
        <f>""</f>
        <v/>
      </c>
      <c r="AE300" s="5" t="str">
        <f>"12,00"</f>
        <v>12,00</v>
      </c>
      <c r="AF300" s="5" t="str">
        <f>"2034"</f>
        <v>2034</v>
      </c>
      <c r="AG300" s="5" t="str">
        <f>"да"</f>
        <v>да</v>
      </c>
      <c r="AH300" s="5" t="str">
        <f>""</f>
        <v/>
      </c>
      <c r="AI300" s="5" t="str">
        <f>"12,00"</f>
        <v>12,00</v>
      </c>
      <c r="AJ300" s="5" t="str">
        <f>"2034"</f>
        <v>2034</v>
      </c>
      <c r="AK300" s="8" t="str">
        <f>""</f>
        <v/>
      </c>
      <c r="AL300" s="5" t="str">
        <f>"20,00"</f>
        <v>20,00</v>
      </c>
      <c r="AM300" s="5" t="str">
        <f>"2030"</f>
        <v>2030</v>
      </c>
      <c r="AN300" s="5" t="str">
        <f>"да"</f>
        <v>да</v>
      </c>
      <c r="AO300" s="5" t="str">
        <f>""</f>
        <v/>
      </c>
      <c r="AP300" s="5" t="str">
        <f>"20,00"</f>
        <v>20,00</v>
      </c>
      <c r="AQ300" s="5" t="str">
        <f>"2030"</f>
        <v>2030</v>
      </c>
      <c r="AR300" s="5" t="str">
        <f>"да"</f>
        <v>да</v>
      </c>
      <c r="AS300" s="5" t="str">
        <f>""</f>
        <v/>
      </c>
      <c r="AT300" s="5" t="str">
        <f>"20,00"</f>
        <v>20,00</v>
      </c>
      <c r="AU300" s="5" t="str">
        <f>"2030"</f>
        <v>2030</v>
      </c>
      <c r="AV300" s="5" t="str">
        <f t="shared" ref="AV300:BF300" si="517">"х"</f>
        <v>х</v>
      </c>
      <c r="AW300" s="5" t="str">
        <f t="shared" si="517"/>
        <v>х</v>
      </c>
      <c r="AX300" s="5" t="str">
        <f t="shared" si="517"/>
        <v>х</v>
      </c>
      <c r="AY300" s="5" t="str">
        <f t="shared" si="517"/>
        <v>х</v>
      </c>
      <c r="AZ300" s="5" t="str">
        <f t="shared" si="517"/>
        <v>х</v>
      </c>
      <c r="BA300" s="5" t="str">
        <f t="shared" si="517"/>
        <v>х</v>
      </c>
      <c r="BB300" s="5" t="str">
        <f t="shared" si="517"/>
        <v>х</v>
      </c>
      <c r="BC300" s="5" t="str">
        <f t="shared" si="517"/>
        <v>х</v>
      </c>
      <c r="BD300" s="5" t="str">
        <f t="shared" si="517"/>
        <v>х</v>
      </c>
      <c r="BE300" s="5" t="str">
        <f t="shared" si="517"/>
        <v>х</v>
      </c>
      <c r="BF300" s="5" t="str">
        <f t="shared" si="517"/>
        <v>х</v>
      </c>
      <c r="BG300" s="5" t="str">
        <f>""</f>
        <v/>
      </c>
      <c r="BH300" s="5" t="str">
        <f>"21,00"</f>
        <v>21,00</v>
      </c>
      <c r="BI300" s="5" t="str">
        <f>"2029"</f>
        <v>2029</v>
      </c>
      <c r="BJ300" s="5" t="str">
        <f t="shared" si="515"/>
        <v>нет</v>
      </c>
      <c r="BK300" s="5" t="str">
        <f>""</f>
        <v/>
      </c>
      <c r="BL300" s="5" t="str">
        <f>""</f>
        <v/>
      </c>
      <c r="BM300" s="5" t="str">
        <f>""</f>
        <v/>
      </c>
      <c r="BN300" s="5" t="str">
        <f t="shared" si="516"/>
        <v>нет</v>
      </c>
      <c r="BO300" s="5" t="str">
        <f>""</f>
        <v/>
      </c>
      <c r="BP300" s="5" t="str">
        <f>""</f>
        <v/>
      </c>
      <c r="BQ300" s="5" t="str">
        <f>""</f>
        <v/>
      </c>
      <c r="BR300" s="5" t="str">
        <f>""</f>
        <v/>
      </c>
      <c r="BS300" s="5" t="str">
        <f>"18,00"</f>
        <v>18,00</v>
      </c>
      <c r="BT300" s="5" t="str">
        <f>"2028"</f>
        <v>2028</v>
      </c>
      <c r="BU300" s="5" t="str">
        <f t="shared" ref="BU300:BU363" si="518">"нет"</f>
        <v>нет</v>
      </c>
      <c r="BV300" s="5" t="str">
        <f t="shared" ref="BV300:BX319" si="519">"x"</f>
        <v>x</v>
      </c>
      <c r="BW300" s="5" t="str">
        <f t="shared" si="519"/>
        <v>x</v>
      </c>
      <c r="BX300" s="5" t="str">
        <f t="shared" si="519"/>
        <v>x</v>
      </c>
      <c r="BY300" s="5" t="str">
        <f t="shared" si="452"/>
        <v>нет</v>
      </c>
      <c r="BZ300" s="5" t="str">
        <f>"x"</f>
        <v>x</v>
      </c>
      <c r="CA300" s="5" t="str">
        <f>"12,00"</f>
        <v>12,00</v>
      </c>
      <c r="CB300" s="5" t="str">
        <f>"2032"</f>
        <v>2032</v>
      </c>
      <c r="CC300" s="5" t="str">
        <f>""</f>
        <v/>
      </c>
      <c r="CD300" s="5" t="str">
        <f>"10,00"</f>
        <v>10,00</v>
      </c>
      <c r="CE300" s="5" t="str">
        <f>"2035"</f>
        <v>2035</v>
      </c>
      <c r="CF300" s="5" t="str">
        <f>""</f>
        <v/>
      </c>
      <c r="CG300" s="5" t="str">
        <f>"8,00"</f>
        <v>8,00</v>
      </c>
      <c r="CH300" s="5" t="str">
        <f>"2029"</f>
        <v>2029</v>
      </c>
      <c r="CI300" s="5" t="str">
        <f>"35,00"</f>
        <v>35,00</v>
      </c>
      <c r="CJ300" s="5" t="str">
        <f>"2035"</f>
        <v>2035</v>
      </c>
    </row>
    <row r="301" spans="1:88" ht="11.25" customHeight="1">
      <c r="A301" s="3" t="str">
        <f>"1.288"</f>
        <v>1.288</v>
      </c>
      <c r="B301" s="4" t="str">
        <f>"г. Грязовец, ул. Студенческая, д.29"</f>
        <v>г. Грязовец, ул. Студенческая, д.29</v>
      </c>
      <c r="C301" s="7" t="str">
        <f>"1986"</f>
        <v>1986</v>
      </c>
      <c r="D301" s="5" t="str">
        <f>"1986"</f>
        <v>1986</v>
      </c>
      <c r="E301" s="5" t="str">
        <f>"25,00"</f>
        <v>25,00</v>
      </c>
      <c r="F301" s="5" t="str">
        <f>"2030"</f>
        <v>2030</v>
      </c>
      <c r="G301" s="5" t="str">
        <f t="shared" si="513"/>
        <v>да</v>
      </c>
      <c r="H301" s="5" t="str">
        <f>""</f>
        <v/>
      </c>
      <c r="I301" s="5" t="str">
        <f>"20,00"</f>
        <v>20,00</v>
      </c>
      <c r="J301" s="5" t="str">
        <f>"2030"</f>
        <v>2030</v>
      </c>
      <c r="K301" s="5" t="str">
        <f t="shared" si="514"/>
        <v>да</v>
      </c>
      <c r="L301" s="5" t="str">
        <f>""</f>
        <v/>
      </c>
      <c r="M301" s="5" t="str">
        <f>"20,00"</f>
        <v>20,00</v>
      </c>
      <c r="N301" s="5" t="str">
        <f>"2030"</f>
        <v>2030</v>
      </c>
      <c r="O301" s="8" t="str">
        <f>"1986"</f>
        <v>1986</v>
      </c>
      <c r="P301" s="5" t="str">
        <f>"51,00"</f>
        <v>51,00</v>
      </c>
      <c r="Q301" s="5" t="str">
        <f>"2018"</f>
        <v>2018</v>
      </c>
      <c r="R301" s="5" t="str">
        <f t="shared" ref="R301:R313" si="520">"нет"</f>
        <v>нет</v>
      </c>
      <c r="S301" s="5" t="str">
        <f t="shared" ref="S301:U304" si="521">"х"</f>
        <v>х</v>
      </c>
      <c r="T301" s="5" t="str">
        <f t="shared" si="521"/>
        <v>х</v>
      </c>
      <c r="U301" s="5" t="str">
        <f t="shared" si="521"/>
        <v>х</v>
      </c>
      <c r="V301" s="5" t="str">
        <f>"да"</f>
        <v>да</v>
      </c>
      <c r="W301" s="5" t="str">
        <f t="shared" ref="W301:Y304" si="522">"х"</f>
        <v>х</v>
      </c>
      <c r="X301" s="5" t="str">
        <f t="shared" si="522"/>
        <v>х</v>
      </c>
      <c r="Y301" s="9" t="str">
        <f t="shared" si="522"/>
        <v>х</v>
      </c>
      <c r="Z301" s="5" t="str">
        <f>"1986"</f>
        <v>1986</v>
      </c>
      <c r="AA301" s="5" t="str">
        <f>"21,00"</f>
        <v>21,00</v>
      </c>
      <c r="AB301" s="5" t="str">
        <f>"2025"</f>
        <v>2025</v>
      </c>
      <c r="AC301" s="5" t="str">
        <f t="shared" ref="AC301:AC313" si="523">"нет"</f>
        <v>нет</v>
      </c>
      <c r="AD301" s="5" t="str">
        <f>""</f>
        <v/>
      </c>
      <c r="AE301" s="5" t="str">
        <f>""</f>
        <v/>
      </c>
      <c r="AF301" s="5" t="str">
        <f>""</f>
        <v/>
      </c>
      <c r="AG301" s="5" t="str">
        <f t="shared" ref="AG301:AG313" si="524">"нет"</f>
        <v>нет</v>
      </c>
      <c r="AH301" s="5" t="str">
        <f>""</f>
        <v/>
      </c>
      <c r="AI301" s="5" t="str">
        <f>""</f>
        <v/>
      </c>
      <c r="AJ301" s="5" t="str">
        <f>""</f>
        <v/>
      </c>
      <c r="AK301" s="8" t="str">
        <f>"1986"</f>
        <v>1986</v>
      </c>
      <c r="AL301" s="5" t="str">
        <f>"30,00"</f>
        <v>30,00</v>
      </c>
      <c r="AM301" s="5" t="str">
        <f>"2025"</f>
        <v>2025</v>
      </c>
      <c r="AN301" s="5" t="str">
        <f>"нет"</f>
        <v>нет</v>
      </c>
      <c r="AO301" s="5" t="str">
        <f t="shared" ref="AO301:AQ308" si="525">"х"</f>
        <v>х</v>
      </c>
      <c r="AP301" s="5" t="str">
        <f t="shared" si="525"/>
        <v>х</v>
      </c>
      <c r="AQ301" s="5" t="str">
        <f t="shared" si="525"/>
        <v>х</v>
      </c>
      <c r="AR301" s="5" t="str">
        <f>"да"</f>
        <v>да</v>
      </c>
      <c r="AS301" s="5" t="str">
        <f t="shared" ref="AS301:AU308" si="526">"х"</f>
        <v>х</v>
      </c>
      <c r="AT301" s="5" t="str">
        <f t="shared" si="526"/>
        <v>х</v>
      </c>
      <c r="AU301" s="5" t="str">
        <f t="shared" si="526"/>
        <v>х</v>
      </c>
      <c r="AV301" s="5" t="str">
        <f>"1986"</f>
        <v>1986</v>
      </c>
      <c r="AW301" s="5" t="str">
        <f>"30,00"</f>
        <v>30,00</v>
      </c>
      <c r="AX301" s="5" t="str">
        <f>"2022"</f>
        <v>2022</v>
      </c>
      <c r="AY301" s="5" t="str">
        <f t="shared" ref="AY301:AY313" si="527">"нет"</f>
        <v>нет</v>
      </c>
      <c r="AZ301" s="5" t="str">
        <f t="shared" ref="AZ301:BB308" si="528">"х"</f>
        <v>х</v>
      </c>
      <c r="BA301" s="5" t="str">
        <f t="shared" si="528"/>
        <v>х</v>
      </c>
      <c r="BB301" s="5" t="str">
        <f t="shared" si="528"/>
        <v>х</v>
      </c>
      <c r="BC301" s="5" t="str">
        <f>"да"</f>
        <v>да</v>
      </c>
      <c r="BD301" s="5" t="str">
        <f t="shared" ref="BD301:BF308" si="529">"х"</f>
        <v>х</v>
      </c>
      <c r="BE301" s="5" t="str">
        <f t="shared" si="529"/>
        <v>х</v>
      </c>
      <c r="BF301" s="5" t="str">
        <f t="shared" si="529"/>
        <v>х</v>
      </c>
      <c r="BG301" s="5" t="str">
        <f>"1986"</f>
        <v>1986</v>
      </c>
      <c r="BH301" s="5" t="str">
        <f>"32,00"</f>
        <v>32,00</v>
      </c>
      <c r="BI301" s="5" t="str">
        <f>"2022"</f>
        <v>2022</v>
      </c>
      <c r="BJ301" s="5" t="str">
        <f t="shared" si="515"/>
        <v>нет</v>
      </c>
      <c r="BK301" s="5" t="str">
        <f t="shared" ref="BK301:BM308" si="530">"х"</f>
        <v>х</v>
      </c>
      <c r="BL301" s="5" t="str">
        <f t="shared" si="530"/>
        <v>х</v>
      </c>
      <c r="BM301" s="5" t="str">
        <f t="shared" si="530"/>
        <v>х</v>
      </c>
      <c r="BN301" s="5" t="str">
        <f t="shared" si="516"/>
        <v>нет</v>
      </c>
      <c r="BO301" s="5" t="str">
        <f t="shared" ref="BO301:BQ308" si="531">"х"</f>
        <v>х</v>
      </c>
      <c r="BP301" s="5" t="str">
        <f t="shared" si="531"/>
        <v>х</v>
      </c>
      <c r="BQ301" s="5" t="str">
        <f t="shared" si="531"/>
        <v>х</v>
      </c>
      <c r="BR301" s="5" t="str">
        <f>"1986"</f>
        <v>1986</v>
      </c>
      <c r="BS301" s="5" t="str">
        <f>"32,00"</f>
        <v>32,00</v>
      </c>
      <c r="BT301" s="5" t="str">
        <f>"2022"</f>
        <v>2022</v>
      </c>
      <c r="BU301" s="5" t="str">
        <f t="shared" si="518"/>
        <v>нет</v>
      </c>
      <c r="BV301" s="5" t="str">
        <f t="shared" si="519"/>
        <v>x</v>
      </c>
      <c r="BW301" s="5" t="str">
        <f t="shared" si="519"/>
        <v>x</v>
      </c>
      <c r="BX301" s="5" t="str">
        <f t="shared" si="519"/>
        <v>x</v>
      </c>
      <c r="BY301" s="5" t="str">
        <f t="shared" ref="BY301:BY327" si="532">"нет"</f>
        <v>нет</v>
      </c>
      <c r="BZ301" s="5" t="str">
        <f>"1986"</f>
        <v>1986</v>
      </c>
      <c r="CA301" s="5" t="str">
        <f>"15,00"</f>
        <v>15,00</v>
      </c>
      <c r="CB301" s="5" t="str">
        <f>"2026"</f>
        <v>2026</v>
      </c>
      <c r="CC301" s="5" t="str">
        <f>"1986"</f>
        <v>1986</v>
      </c>
      <c r="CD301" s="5" t="str">
        <f>"50,00"</f>
        <v>50,00</v>
      </c>
      <c r="CE301" s="5" t="str">
        <f>"2018"</f>
        <v>2018</v>
      </c>
      <c r="CF301" s="5" t="str">
        <f>"1986"</f>
        <v>1986</v>
      </c>
      <c r="CG301" s="5" t="str">
        <f>"15,00"</f>
        <v>15,00</v>
      </c>
      <c r="CH301" s="5" t="str">
        <f>"2025"</f>
        <v>2025</v>
      </c>
      <c r="CI301" s="5" t="str">
        <f>"28,00"</f>
        <v>28,00</v>
      </c>
      <c r="CJ301" s="5" t="str">
        <f>"2038"</f>
        <v>2038</v>
      </c>
    </row>
    <row r="302" spans="1:88" ht="11.25" customHeight="1">
      <c r="A302" s="3" t="str">
        <f>"1.289"</f>
        <v>1.289</v>
      </c>
      <c r="B302" s="4" t="str">
        <f>"г. Грязовец, ул. Студенческая, д.32"</f>
        <v>г. Грязовец, ул. Студенческая, д.32</v>
      </c>
      <c r="C302" s="7" t="str">
        <f>"1980"</f>
        <v>1980</v>
      </c>
      <c r="D302" s="5" t="str">
        <f>""</f>
        <v/>
      </c>
      <c r="E302" s="5" t="str">
        <f>"21,00"</f>
        <v>21,00</v>
      </c>
      <c r="F302" s="5" t="str">
        <f>"2022"</f>
        <v>2022</v>
      </c>
      <c r="G302" s="5" t="str">
        <f t="shared" si="513"/>
        <v>да</v>
      </c>
      <c r="H302" s="5" t="str">
        <f>""</f>
        <v/>
      </c>
      <c r="I302" s="5" t="str">
        <f>"20,00"</f>
        <v>20,00</v>
      </c>
      <c r="J302" s="5" t="str">
        <f>"2022"</f>
        <v>2022</v>
      </c>
      <c r="K302" s="5" t="str">
        <f t="shared" si="514"/>
        <v>да</v>
      </c>
      <c r="L302" s="5" t="str">
        <f>""</f>
        <v/>
      </c>
      <c r="M302" s="5" t="str">
        <f>"20,00"</f>
        <v>20,00</v>
      </c>
      <c r="N302" s="5" t="str">
        <f>"2022"</f>
        <v>2022</v>
      </c>
      <c r="O302" s="8" t="str">
        <f>"х"</f>
        <v>х</v>
      </c>
      <c r="P302" s="5" t="str">
        <f>"26,00"</f>
        <v>26,00</v>
      </c>
      <c r="Q302" s="5" t="str">
        <f>"2020"</f>
        <v>2020</v>
      </c>
      <c r="R302" s="5" t="str">
        <f t="shared" si="520"/>
        <v>нет</v>
      </c>
      <c r="S302" s="5" t="str">
        <f t="shared" si="521"/>
        <v>х</v>
      </c>
      <c r="T302" s="5" t="str">
        <f t="shared" si="521"/>
        <v>х</v>
      </c>
      <c r="U302" s="5" t="str">
        <f t="shared" si="521"/>
        <v>х</v>
      </c>
      <c r="V302" s="5" t="str">
        <f>"да"</f>
        <v>да</v>
      </c>
      <c r="W302" s="5" t="str">
        <f t="shared" si="522"/>
        <v>х</v>
      </c>
      <c r="X302" s="5" t="str">
        <f t="shared" si="522"/>
        <v>х</v>
      </c>
      <c r="Y302" s="9" t="str">
        <f t="shared" si="522"/>
        <v>х</v>
      </c>
      <c r="Z302" s="5" t="str">
        <f>""</f>
        <v/>
      </c>
      <c r="AA302" s="5" t="str">
        <f>"15,00"</f>
        <v>15,00</v>
      </c>
      <c r="AB302" s="5" t="str">
        <f>"2025"</f>
        <v>2025</v>
      </c>
      <c r="AC302" s="5" t="str">
        <f t="shared" si="523"/>
        <v>нет</v>
      </c>
      <c r="AD302" s="5" t="str">
        <f>""</f>
        <v/>
      </c>
      <c r="AE302" s="5" t="str">
        <f>""</f>
        <v/>
      </c>
      <c r="AF302" s="5" t="str">
        <f>""</f>
        <v/>
      </c>
      <c r="AG302" s="5" t="str">
        <f t="shared" si="524"/>
        <v>нет</v>
      </c>
      <c r="AH302" s="5" t="str">
        <f>""</f>
        <v/>
      </c>
      <c r="AI302" s="5" t="str">
        <f>""</f>
        <v/>
      </c>
      <c r="AJ302" s="5" t="str">
        <f>""</f>
        <v/>
      </c>
      <c r="AK302" s="8" t="str">
        <f t="shared" ref="AK302:AK308" si="533">"х"</f>
        <v>х</v>
      </c>
      <c r="AL302" s="5" t="str">
        <f>"28,00"</f>
        <v>28,00</v>
      </c>
      <c r="AM302" s="5" t="str">
        <f>"2026"</f>
        <v>2026</v>
      </c>
      <c r="AN302" s="5" t="str">
        <f>"да"</f>
        <v>да</v>
      </c>
      <c r="AO302" s="5" t="str">
        <f t="shared" si="525"/>
        <v>х</v>
      </c>
      <c r="AP302" s="5" t="str">
        <f t="shared" si="525"/>
        <v>х</v>
      </c>
      <c r="AQ302" s="5" t="str">
        <f t="shared" si="525"/>
        <v>х</v>
      </c>
      <c r="AR302" s="5" t="str">
        <f>"да"</f>
        <v>да</v>
      </c>
      <c r="AS302" s="5" t="str">
        <f t="shared" si="526"/>
        <v>х</v>
      </c>
      <c r="AT302" s="5" t="str">
        <f t="shared" si="526"/>
        <v>х</v>
      </c>
      <c r="AU302" s="5" t="str">
        <f t="shared" si="526"/>
        <v>х</v>
      </c>
      <c r="AV302" s="5" t="str">
        <f t="shared" ref="AV302:AV308" si="534">"х"</f>
        <v>х</v>
      </c>
      <c r="AW302" s="5" t="str">
        <f>"24,00"</f>
        <v>24,00</v>
      </c>
      <c r="AX302" s="5" t="str">
        <f>"2028"</f>
        <v>2028</v>
      </c>
      <c r="AY302" s="5" t="str">
        <f t="shared" si="527"/>
        <v>нет</v>
      </c>
      <c r="AZ302" s="5" t="str">
        <f t="shared" si="528"/>
        <v>х</v>
      </c>
      <c r="BA302" s="5" t="str">
        <f t="shared" si="528"/>
        <v>х</v>
      </c>
      <c r="BB302" s="5" t="str">
        <f t="shared" si="528"/>
        <v>х</v>
      </c>
      <c r="BC302" s="5" t="str">
        <f>"да"</f>
        <v>да</v>
      </c>
      <c r="BD302" s="5" t="str">
        <f t="shared" si="529"/>
        <v>х</v>
      </c>
      <c r="BE302" s="5" t="str">
        <f t="shared" si="529"/>
        <v>х</v>
      </c>
      <c r="BF302" s="5" t="str">
        <f t="shared" si="529"/>
        <v>х</v>
      </c>
      <c r="BG302" s="5" t="str">
        <f t="shared" ref="BG302:BG308" si="535">"х"</f>
        <v>х</v>
      </c>
      <c r="BH302" s="5" t="str">
        <f>"30,00"</f>
        <v>30,00</v>
      </c>
      <c r="BI302" s="5" t="str">
        <f>"2028"</f>
        <v>2028</v>
      </c>
      <c r="BJ302" s="5" t="str">
        <f t="shared" si="515"/>
        <v>нет</v>
      </c>
      <c r="BK302" s="5" t="str">
        <f t="shared" si="530"/>
        <v>х</v>
      </c>
      <c r="BL302" s="5" t="str">
        <f t="shared" si="530"/>
        <v>х</v>
      </c>
      <c r="BM302" s="5" t="str">
        <f t="shared" si="530"/>
        <v>х</v>
      </c>
      <c r="BN302" s="5" t="str">
        <f t="shared" si="516"/>
        <v>нет</v>
      </c>
      <c r="BO302" s="5" t="str">
        <f t="shared" si="531"/>
        <v>х</v>
      </c>
      <c r="BP302" s="5" t="str">
        <f t="shared" si="531"/>
        <v>х</v>
      </c>
      <c r="BQ302" s="5" t="str">
        <f t="shared" si="531"/>
        <v>х</v>
      </c>
      <c r="BR302" s="5" t="str">
        <f>""</f>
        <v/>
      </c>
      <c r="BS302" s="5" t="str">
        <f>"31,00"</f>
        <v>31,00</v>
      </c>
      <c r="BT302" s="5" t="str">
        <f>"2024"</f>
        <v>2024</v>
      </c>
      <c r="BU302" s="5" t="str">
        <f t="shared" si="518"/>
        <v>нет</v>
      </c>
      <c r="BV302" s="5" t="str">
        <f t="shared" si="519"/>
        <v>x</v>
      </c>
      <c r="BW302" s="5" t="str">
        <f t="shared" si="519"/>
        <v>x</v>
      </c>
      <c r="BX302" s="5" t="str">
        <f t="shared" si="519"/>
        <v>x</v>
      </c>
      <c r="BY302" s="5" t="str">
        <f t="shared" si="532"/>
        <v>нет</v>
      </c>
      <c r="BZ302" s="5" t="str">
        <f t="shared" ref="BZ302:BZ318" si="536">"x"</f>
        <v>x</v>
      </c>
      <c r="CA302" s="5" t="str">
        <f>"19,00"</f>
        <v>19,00</v>
      </c>
      <c r="CB302" s="5" t="str">
        <f>"2029"</f>
        <v>2029</v>
      </c>
      <c r="CC302" s="5" t="str">
        <f>""</f>
        <v/>
      </c>
      <c r="CD302" s="5" t="str">
        <f>"15,00"</f>
        <v>15,00</v>
      </c>
      <c r="CE302" s="5" t="str">
        <f>"2030"</f>
        <v>2030</v>
      </c>
      <c r="CF302" s="5" t="str">
        <f>""</f>
        <v/>
      </c>
      <c r="CG302" s="5" t="str">
        <f>"11,00"</f>
        <v>11,00</v>
      </c>
      <c r="CH302" s="5" t="str">
        <f>"2030"</f>
        <v>2030</v>
      </c>
      <c r="CI302" s="5" t="str">
        <f>"26,00"</f>
        <v>26,00</v>
      </c>
      <c r="CJ302" s="5" t="str">
        <f>"2040"</f>
        <v>2040</v>
      </c>
    </row>
    <row r="303" spans="1:88" ht="11.25" customHeight="1">
      <c r="A303" s="3" t="str">
        <f>"1.290"</f>
        <v>1.290</v>
      </c>
      <c r="B303" s="4" t="str">
        <f>"г. Грязовец, ул. Студенческая, д.34"</f>
        <v>г. Грязовец, ул. Студенческая, д.34</v>
      </c>
      <c r="C303" s="7" t="str">
        <f>"1986"</f>
        <v>1986</v>
      </c>
      <c r="D303" s="5" t="str">
        <f>""</f>
        <v/>
      </c>
      <c r="E303" s="5" t="str">
        <f>"15,00"</f>
        <v>15,00</v>
      </c>
      <c r="F303" s="5" t="str">
        <f>"2029"</f>
        <v>2029</v>
      </c>
      <c r="G303" s="5" t="str">
        <f t="shared" si="513"/>
        <v>да</v>
      </c>
      <c r="H303" s="5" t="str">
        <f>""</f>
        <v/>
      </c>
      <c r="I303" s="5" t="str">
        <f>"10,00"</f>
        <v>10,00</v>
      </c>
      <c r="J303" s="5" t="str">
        <f>"2029"</f>
        <v>2029</v>
      </c>
      <c r="K303" s="5" t="str">
        <f t="shared" si="514"/>
        <v>да</v>
      </c>
      <c r="L303" s="5" t="str">
        <f>""</f>
        <v/>
      </c>
      <c r="M303" s="5" t="str">
        <f>"10,00"</f>
        <v>10,00</v>
      </c>
      <c r="N303" s="5" t="str">
        <f>"2029"</f>
        <v>2029</v>
      </c>
      <c r="O303" s="8" t="str">
        <f>"х"</f>
        <v>х</v>
      </c>
      <c r="P303" s="5" t="str">
        <f>"21,00"</f>
        <v>21,00</v>
      </c>
      <c r="Q303" s="5" t="str">
        <f>"2026"</f>
        <v>2026</v>
      </c>
      <c r="R303" s="5" t="str">
        <f t="shared" si="520"/>
        <v>нет</v>
      </c>
      <c r="S303" s="5" t="str">
        <f t="shared" si="521"/>
        <v>х</v>
      </c>
      <c r="T303" s="5" t="str">
        <f t="shared" si="521"/>
        <v>х</v>
      </c>
      <c r="U303" s="5" t="str">
        <f t="shared" si="521"/>
        <v>х</v>
      </c>
      <c r="V303" s="5" t="str">
        <f>"да"</f>
        <v>да</v>
      </c>
      <c r="W303" s="5" t="str">
        <f t="shared" si="522"/>
        <v>х</v>
      </c>
      <c r="X303" s="5" t="str">
        <f t="shared" si="522"/>
        <v>х</v>
      </c>
      <c r="Y303" s="9" t="str">
        <f t="shared" si="522"/>
        <v>х</v>
      </c>
      <c r="Z303" s="5" t="str">
        <f>""</f>
        <v/>
      </c>
      <c r="AA303" s="5" t="str">
        <f>"13,00"</f>
        <v>13,00</v>
      </c>
      <c r="AB303" s="5" t="str">
        <f>"2026"</f>
        <v>2026</v>
      </c>
      <c r="AC303" s="5" t="str">
        <f t="shared" si="523"/>
        <v>нет</v>
      </c>
      <c r="AD303" s="5" t="str">
        <f>""</f>
        <v/>
      </c>
      <c r="AE303" s="5" t="str">
        <f>""</f>
        <v/>
      </c>
      <c r="AF303" s="5" t="str">
        <f>""</f>
        <v/>
      </c>
      <c r="AG303" s="5" t="str">
        <f t="shared" si="524"/>
        <v>нет</v>
      </c>
      <c r="AH303" s="5" t="str">
        <f>""</f>
        <v/>
      </c>
      <c r="AI303" s="5" t="str">
        <f>""</f>
        <v/>
      </c>
      <c r="AJ303" s="5" t="str">
        <f>""</f>
        <v/>
      </c>
      <c r="AK303" s="8" t="str">
        <f t="shared" si="533"/>
        <v>х</v>
      </c>
      <c r="AL303" s="5" t="str">
        <f>"28,00"</f>
        <v>28,00</v>
      </c>
      <c r="AM303" s="5" t="str">
        <f>"2026"</f>
        <v>2026</v>
      </c>
      <c r="AN303" s="5" t="str">
        <f t="shared" ref="AN303:AN313" si="537">"нет"</f>
        <v>нет</v>
      </c>
      <c r="AO303" s="5" t="str">
        <f t="shared" si="525"/>
        <v>х</v>
      </c>
      <c r="AP303" s="5" t="str">
        <f t="shared" si="525"/>
        <v>х</v>
      </c>
      <c r="AQ303" s="5" t="str">
        <f t="shared" si="525"/>
        <v>х</v>
      </c>
      <c r="AR303" s="5" t="str">
        <f>"да"</f>
        <v>да</v>
      </c>
      <c r="AS303" s="5" t="str">
        <f t="shared" si="526"/>
        <v>х</v>
      </c>
      <c r="AT303" s="5" t="str">
        <f t="shared" si="526"/>
        <v>х</v>
      </c>
      <c r="AU303" s="5" t="str">
        <f t="shared" si="526"/>
        <v>х</v>
      </c>
      <c r="AV303" s="5" t="str">
        <f t="shared" si="534"/>
        <v>х</v>
      </c>
      <c r="AW303" s="5" t="str">
        <f>"24,00"</f>
        <v>24,00</v>
      </c>
      <c r="AX303" s="5" t="str">
        <f>"2026"</f>
        <v>2026</v>
      </c>
      <c r="AY303" s="5" t="str">
        <f t="shared" si="527"/>
        <v>нет</v>
      </c>
      <c r="AZ303" s="5" t="str">
        <f t="shared" si="528"/>
        <v>х</v>
      </c>
      <c r="BA303" s="5" t="str">
        <f t="shared" si="528"/>
        <v>х</v>
      </c>
      <c r="BB303" s="5" t="str">
        <f t="shared" si="528"/>
        <v>х</v>
      </c>
      <c r="BC303" s="5" t="str">
        <f>"да"</f>
        <v>да</v>
      </c>
      <c r="BD303" s="5" t="str">
        <f t="shared" si="529"/>
        <v>х</v>
      </c>
      <c r="BE303" s="5" t="str">
        <f t="shared" si="529"/>
        <v>х</v>
      </c>
      <c r="BF303" s="5" t="str">
        <f t="shared" si="529"/>
        <v>х</v>
      </c>
      <c r="BG303" s="5" t="str">
        <f t="shared" si="535"/>
        <v>х</v>
      </c>
      <c r="BH303" s="5" t="str">
        <f>"28,00"</f>
        <v>28,00</v>
      </c>
      <c r="BI303" s="5" t="str">
        <f>"2026"</f>
        <v>2026</v>
      </c>
      <c r="BJ303" s="5" t="str">
        <f t="shared" si="515"/>
        <v>нет</v>
      </c>
      <c r="BK303" s="5" t="str">
        <f t="shared" si="530"/>
        <v>х</v>
      </c>
      <c r="BL303" s="5" t="str">
        <f t="shared" si="530"/>
        <v>х</v>
      </c>
      <c r="BM303" s="5" t="str">
        <f t="shared" si="530"/>
        <v>х</v>
      </c>
      <c r="BN303" s="5" t="str">
        <f t="shared" si="516"/>
        <v>нет</v>
      </c>
      <c r="BO303" s="5" t="str">
        <f t="shared" si="531"/>
        <v>х</v>
      </c>
      <c r="BP303" s="5" t="str">
        <f t="shared" si="531"/>
        <v>х</v>
      </c>
      <c r="BQ303" s="5" t="str">
        <f t="shared" si="531"/>
        <v>х</v>
      </c>
      <c r="BR303" s="5" t="str">
        <f>""</f>
        <v/>
      </c>
      <c r="BS303" s="5" t="str">
        <f>"34,00"</f>
        <v>34,00</v>
      </c>
      <c r="BT303" s="5" t="str">
        <f>"2022"</f>
        <v>2022</v>
      </c>
      <c r="BU303" s="5" t="str">
        <f t="shared" si="518"/>
        <v>нет</v>
      </c>
      <c r="BV303" s="5" t="str">
        <f t="shared" si="519"/>
        <v>x</v>
      </c>
      <c r="BW303" s="5" t="str">
        <f t="shared" si="519"/>
        <v>x</v>
      </c>
      <c r="BX303" s="5" t="str">
        <f t="shared" si="519"/>
        <v>x</v>
      </c>
      <c r="BY303" s="5" t="str">
        <f t="shared" si="532"/>
        <v>нет</v>
      </c>
      <c r="BZ303" s="5" t="str">
        <f t="shared" si="536"/>
        <v>x</v>
      </c>
      <c r="CA303" s="5" t="str">
        <f>"16,00"</f>
        <v>16,00</v>
      </c>
      <c r="CB303" s="5" t="str">
        <f>"2029"</f>
        <v>2029</v>
      </c>
      <c r="CC303" s="5" t="str">
        <f>""</f>
        <v/>
      </c>
      <c r="CD303" s="5" t="str">
        <f>"14,00"</f>
        <v>14,00</v>
      </c>
      <c r="CE303" s="5" t="str">
        <f>"2030"</f>
        <v>2030</v>
      </c>
      <c r="CF303" s="5" t="str">
        <f>""</f>
        <v/>
      </c>
      <c r="CG303" s="5" t="str">
        <f>"8,00"</f>
        <v>8,00</v>
      </c>
      <c r="CH303" s="5" t="str">
        <f>"2030"</f>
        <v>2030</v>
      </c>
      <c r="CI303" s="5" t="str">
        <f>"17,00"</f>
        <v>17,00</v>
      </c>
      <c r="CJ303" s="5" t="str">
        <f>"2040"</f>
        <v>2040</v>
      </c>
    </row>
    <row r="304" spans="1:88" ht="11.25" customHeight="1">
      <c r="A304" s="3" t="str">
        <f>"1.291"</f>
        <v>1.291</v>
      </c>
      <c r="B304" s="4" t="str">
        <f>"г. Грязовец, ул. Студенческая, д.36"</f>
        <v>г. Грязовец, ул. Студенческая, д.36</v>
      </c>
      <c r="C304" s="7" t="str">
        <f>"1991"</f>
        <v>1991</v>
      </c>
      <c r="D304" s="5" t="str">
        <f>""</f>
        <v/>
      </c>
      <c r="E304" s="5" t="str">
        <f>"15,00"</f>
        <v>15,00</v>
      </c>
      <c r="F304" s="5" t="str">
        <f>"2035"</f>
        <v>2035</v>
      </c>
      <c r="G304" s="5" t="str">
        <f t="shared" si="513"/>
        <v>да</v>
      </c>
      <c r="H304" s="5" t="str">
        <f>""</f>
        <v/>
      </c>
      <c r="I304" s="5" t="str">
        <f>"10,00"</f>
        <v>10,00</v>
      </c>
      <c r="J304" s="5" t="str">
        <f>"2035"</f>
        <v>2035</v>
      </c>
      <c r="K304" s="5" t="str">
        <f t="shared" si="514"/>
        <v>да</v>
      </c>
      <c r="L304" s="5" t="str">
        <f>""</f>
        <v/>
      </c>
      <c r="M304" s="5" t="str">
        <f>"10,00"</f>
        <v>10,00</v>
      </c>
      <c r="N304" s="5" t="str">
        <f>"2035"</f>
        <v>2035</v>
      </c>
      <c r="O304" s="8" t="str">
        <f>"х"</f>
        <v>х</v>
      </c>
      <c r="P304" s="5" t="str">
        <f>"20,00"</f>
        <v>20,00</v>
      </c>
      <c r="Q304" s="5" t="str">
        <f>"2030"</f>
        <v>2030</v>
      </c>
      <c r="R304" s="5" t="str">
        <f t="shared" si="520"/>
        <v>нет</v>
      </c>
      <c r="S304" s="5" t="str">
        <f t="shared" si="521"/>
        <v>х</v>
      </c>
      <c r="T304" s="5" t="str">
        <f t="shared" si="521"/>
        <v>х</v>
      </c>
      <c r="U304" s="5" t="str">
        <f t="shared" si="521"/>
        <v>х</v>
      </c>
      <c r="V304" s="5" t="str">
        <f>"да"</f>
        <v>да</v>
      </c>
      <c r="W304" s="5" t="str">
        <f t="shared" si="522"/>
        <v>х</v>
      </c>
      <c r="X304" s="5" t="str">
        <f t="shared" si="522"/>
        <v>х</v>
      </c>
      <c r="Y304" s="9" t="str">
        <f t="shared" si="522"/>
        <v>х</v>
      </c>
      <c r="Z304" s="5" t="str">
        <f>""</f>
        <v/>
      </c>
      <c r="AA304" s="5" t="str">
        <f>"10,00"</f>
        <v>10,00</v>
      </c>
      <c r="AB304" s="5" t="str">
        <f>"2030"</f>
        <v>2030</v>
      </c>
      <c r="AC304" s="5" t="str">
        <f t="shared" si="523"/>
        <v>нет</v>
      </c>
      <c r="AD304" s="5" t="str">
        <f>""</f>
        <v/>
      </c>
      <c r="AE304" s="5" t="str">
        <f>""</f>
        <v/>
      </c>
      <c r="AF304" s="5" t="str">
        <f>""</f>
        <v/>
      </c>
      <c r="AG304" s="5" t="str">
        <f t="shared" si="524"/>
        <v>нет</v>
      </c>
      <c r="AH304" s="5" t="str">
        <f>""</f>
        <v/>
      </c>
      <c r="AI304" s="5" t="str">
        <f>""</f>
        <v/>
      </c>
      <c r="AJ304" s="5" t="str">
        <f>""</f>
        <v/>
      </c>
      <c r="AK304" s="8" t="str">
        <f t="shared" si="533"/>
        <v>х</v>
      </c>
      <c r="AL304" s="5" t="str">
        <f>"25,00"</f>
        <v>25,00</v>
      </c>
      <c r="AM304" s="5" t="str">
        <f>"2030"</f>
        <v>2030</v>
      </c>
      <c r="AN304" s="5" t="str">
        <f t="shared" si="537"/>
        <v>нет</v>
      </c>
      <c r="AO304" s="5" t="str">
        <f t="shared" si="525"/>
        <v>х</v>
      </c>
      <c r="AP304" s="5" t="str">
        <f t="shared" si="525"/>
        <v>х</v>
      </c>
      <c r="AQ304" s="5" t="str">
        <f t="shared" si="525"/>
        <v>х</v>
      </c>
      <c r="AR304" s="5" t="str">
        <f t="shared" ref="AR304:AR309" si="538">"нет"</f>
        <v>нет</v>
      </c>
      <c r="AS304" s="5" t="str">
        <f t="shared" si="526"/>
        <v>х</v>
      </c>
      <c r="AT304" s="5" t="str">
        <f t="shared" si="526"/>
        <v>х</v>
      </c>
      <c r="AU304" s="5" t="str">
        <f t="shared" si="526"/>
        <v>х</v>
      </c>
      <c r="AV304" s="5" t="str">
        <f t="shared" si="534"/>
        <v>х</v>
      </c>
      <c r="AW304" s="5" t="str">
        <f>"20,00"</f>
        <v>20,00</v>
      </c>
      <c r="AX304" s="5" t="str">
        <f>"2030"</f>
        <v>2030</v>
      </c>
      <c r="AY304" s="5" t="str">
        <f t="shared" si="527"/>
        <v>нет</v>
      </c>
      <c r="AZ304" s="5" t="str">
        <f t="shared" si="528"/>
        <v>х</v>
      </c>
      <c r="BA304" s="5" t="str">
        <f t="shared" si="528"/>
        <v>х</v>
      </c>
      <c r="BB304" s="5" t="str">
        <f t="shared" si="528"/>
        <v>х</v>
      </c>
      <c r="BC304" s="5" t="str">
        <f t="shared" ref="BC304:BC313" si="539">"нет"</f>
        <v>нет</v>
      </c>
      <c r="BD304" s="5" t="str">
        <f t="shared" si="529"/>
        <v>х</v>
      </c>
      <c r="BE304" s="5" t="str">
        <f t="shared" si="529"/>
        <v>х</v>
      </c>
      <c r="BF304" s="5" t="str">
        <f t="shared" si="529"/>
        <v>х</v>
      </c>
      <c r="BG304" s="5" t="str">
        <f t="shared" si="535"/>
        <v>х</v>
      </c>
      <c r="BH304" s="5" t="str">
        <f>"25,00"</f>
        <v>25,00</v>
      </c>
      <c r="BI304" s="5" t="str">
        <f>"2026"</f>
        <v>2026</v>
      </c>
      <c r="BJ304" s="5" t="str">
        <f t="shared" si="515"/>
        <v>нет</v>
      </c>
      <c r="BK304" s="5" t="str">
        <f t="shared" si="530"/>
        <v>х</v>
      </c>
      <c r="BL304" s="5" t="str">
        <f t="shared" si="530"/>
        <v>х</v>
      </c>
      <c r="BM304" s="5" t="str">
        <f t="shared" si="530"/>
        <v>х</v>
      </c>
      <c r="BN304" s="5" t="str">
        <f t="shared" si="516"/>
        <v>нет</v>
      </c>
      <c r="BO304" s="5" t="str">
        <f t="shared" si="531"/>
        <v>х</v>
      </c>
      <c r="BP304" s="5" t="str">
        <f t="shared" si="531"/>
        <v>х</v>
      </c>
      <c r="BQ304" s="5" t="str">
        <f t="shared" si="531"/>
        <v>х</v>
      </c>
      <c r="BR304" s="5" t="str">
        <f>""</f>
        <v/>
      </c>
      <c r="BS304" s="5" t="str">
        <f>"30,00"</f>
        <v>30,00</v>
      </c>
      <c r="BT304" s="5" t="str">
        <f>"2025"</f>
        <v>2025</v>
      </c>
      <c r="BU304" s="5" t="str">
        <f t="shared" si="518"/>
        <v>нет</v>
      </c>
      <c r="BV304" s="5" t="str">
        <f t="shared" si="519"/>
        <v>x</v>
      </c>
      <c r="BW304" s="5" t="str">
        <f t="shared" si="519"/>
        <v>x</v>
      </c>
      <c r="BX304" s="5" t="str">
        <f t="shared" si="519"/>
        <v>x</v>
      </c>
      <c r="BY304" s="5" t="str">
        <f t="shared" si="532"/>
        <v>нет</v>
      </c>
      <c r="BZ304" s="5" t="str">
        <f t="shared" si="536"/>
        <v>x</v>
      </c>
      <c r="CA304" s="5" t="str">
        <f>"15,00"</f>
        <v>15,00</v>
      </c>
      <c r="CB304" s="5" t="str">
        <f>"2025"</f>
        <v>2025</v>
      </c>
      <c r="CC304" s="5" t="str">
        <f>""</f>
        <v/>
      </c>
      <c r="CD304" s="5" t="str">
        <f>"10,00"</f>
        <v>10,00</v>
      </c>
      <c r="CE304" s="5" t="str">
        <f>"2028"</f>
        <v>2028</v>
      </c>
      <c r="CF304" s="5" t="str">
        <f>""</f>
        <v/>
      </c>
      <c r="CG304" s="5" t="str">
        <f>"5,00"</f>
        <v>5,00</v>
      </c>
      <c r="CH304" s="5" t="str">
        <f>"2035"</f>
        <v>2035</v>
      </c>
      <c r="CI304" s="5" t="str">
        <f>"19,00"</f>
        <v>19,00</v>
      </c>
      <c r="CJ304" s="5" t="str">
        <f>"2040"</f>
        <v>2040</v>
      </c>
    </row>
    <row r="305" spans="1:88" ht="11.25" customHeight="1">
      <c r="A305" s="3" t="str">
        <f>"1.292"</f>
        <v>1.292</v>
      </c>
      <c r="B305" s="4" t="str">
        <f>"г. Грязовец, ул. Урицкого, д.1"</f>
        <v>г. Грязовец, ул. Урицкого, д.1</v>
      </c>
      <c r="C305" s="7" t="str">
        <f>"1950"</f>
        <v>1950</v>
      </c>
      <c r="D305" s="5" t="str">
        <f>""</f>
        <v/>
      </c>
      <c r="E305" s="5" t="str">
        <f>"58,00"</f>
        <v>58,00</v>
      </c>
      <c r="F305" s="5" t="str">
        <f>"2020"</f>
        <v>2020</v>
      </c>
      <c r="G305" s="5" t="str">
        <f>"нет"</f>
        <v>нет</v>
      </c>
      <c r="H305" s="5" t="str">
        <f>""</f>
        <v/>
      </c>
      <c r="I305" s="5" t="str">
        <f>""</f>
        <v/>
      </c>
      <c r="J305" s="5" t="str">
        <f>""</f>
        <v/>
      </c>
      <c r="K305" s="5" t="str">
        <f>"нет"</f>
        <v>нет</v>
      </c>
      <c r="L305" s="5" t="str">
        <f>""</f>
        <v/>
      </c>
      <c r="M305" s="5" t="str">
        <f>""</f>
        <v/>
      </c>
      <c r="N305" s="5" t="str">
        <f>""</f>
        <v/>
      </c>
      <c r="O305" s="8" t="str">
        <f>""</f>
        <v/>
      </c>
      <c r="P305" s="5" t="str">
        <f>"60,00"</f>
        <v>60,00</v>
      </c>
      <c r="Q305" s="5" t="str">
        <f>"2020"</f>
        <v>2020</v>
      </c>
      <c r="R305" s="5" t="str">
        <f t="shared" si="520"/>
        <v>нет</v>
      </c>
      <c r="S305" s="5" t="str">
        <f>""</f>
        <v/>
      </c>
      <c r="T305" s="5" t="str">
        <f>""</f>
        <v/>
      </c>
      <c r="U305" s="5" t="str">
        <f>""</f>
        <v/>
      </c>
      <c r="V305" s="5" t="str">
        <f t="shared" ref="V305:V313" si="540">"нет"</f>
        <v>нет</v>
      </c>
      <c r="W305" s="5" t="str">
        <f>""</f>
        <v/>
      </c>
      <c r="X305" s="5" t="str">
        <f>""</f>
        <v/>
      </c>
      <c r="Y305" s="9" t="str">
        <f>""</f>
        <v/>
      </c>
      <c r="Z305" s="5" t="str">
        <f>"х"</f>
        <v>х</v>
      </c>
      <c r="AA305" s="5" t="str">
        <f>"40,00"</f>
        <v>40,00</v>
      </c>
      <c r="AB305" s="5" t="str">
        <f>"2020"</f>
        <v>2020</v>
      </c>
      <c r="AC305" s="5" t="str">
        <f t="shared" si="523"/>
        <v>нет</v>
      </c>
      <c r="AD305" s="5" t="str">
        <f>"х"</f>
        <v>х</v>
      </c>
      <c r="AE305" s="5" t="str">
        <f>"х"</f>
        <v>х</v>
      </c>
      <c r="AF305" s="5" t="str">
        <f>"х"</f>
        <v>х</v>
      </c>
      <c r="AG305" s="5" t="str">
        <f t="shared" si="524"/>
        <v>нет</v>
      </c>
      <c r="AH305" s="5" t="str">
        <f>"х"</f>
        <v>х</v>
      </c>
      <c r="AI305" s="5" t="str">
        <f>"х"</f>
        <v>х</v>
      </c>
      <c r="AJ305" s="5" t="str">
        <f>"х"</f>
        <v>х</v>
      </c>
      <c r="AK305" s="8" t="str">
        <f t="shared" si="533"/>
        <v>х</v>
      </c>
      <c r="AL305" s="5" t="str">
        <f>"60,00"</f>
        <v>60,00</v>
      </c>
      <c r="AM305" s="5" t="str">
        <f>"2020"</f>
        <v>2020</v>
      </c>
      <c r="AN305" s="5" t="str">
        <f t="shared" si="537"/>
        <v>нет</v>
      </c>
      <c r="AO305" s="5" t="str">
        <f t="shared" si="525"/>
        <v>х</v>
      </c>
      <c r="AP305" s="5" t="str">
        <f t="shared" si="525"/>
        <v>х</v>
      </c>
      <c r="AQ305" s="5" t="str">
        <f t="shared" si="525"/>
        <v>х</v>
      </c>
      <c r="AR305" s="5" t="str">
        <f t="shared" si="538"/>
        <v>нет</v>
      </c>
      <c r="AS305" s="5" t="str">
        <f t="shared" si="526"/>
        <v>х</v>
      </c>
      <c r="AT305" s="5" t="str">
        <f t="shared" si="526"/>
        <v>х</v>
      </c>
      <c r="AU305" s="5" t="str">
        <f t="shared" si="526"/>
        <v>х</v>
      </c>
      <c r="AV305" s="5" t="str">
        <f t="shared" si="534"/>
        <v>х</v>
      </c>
      <c r="AW305" s="5" t="str">
        <f>"х"</f>
        <v>х</v>
      </c>
      <c r="AX305" s="5" t="str">
        <f>"х"</f>
        <v>х</v>
      </c>
      <c r="AY305" s="5" t="str">
        <f t="shared" si="527"/>
        <v>нет</v>
      </c>
      <c r="AZ305" s="5" t="str">
        <f t="shared" si="528"/>
        <v>х</v>
      </c>
      <c r="BA305" s="5" t="str">
        <f t="shared" si="528"/>
        <v>х</v>
      </c>
      <c r="BB305" s="5" t="str">
        <f t="shared" si="528"/>
        <v>х</v>
      </c>
      <c r="BC305" s="5" t="str">
        <f t="shared" si="539"/>
        <v>нет</v>
      </c>
      <c r="BD305" s="5" t="str">
        <f t="shared" si="529"/>
        <v>х</v>
      </c>
      <c r="BE305" s="5" t="str">
        <f t="shared" si="529"/>
        <v>х</v>
      </c>
      <c r="BF305" s="5" t="str">
        <f t="shared" si="529"/>
        <v>х</v>
      </c>
      <c r="BG305" s="5" t="str">
        <f t="shared" si="535"/>
        <v>х</v>
      </c>
      <c r="BH305" s="5" t="str">
        <f>"60,00"</f>
        <v>60,00</v>
      </c>
      <c r="BI305" s="5" t="str">
        <f>"2020"</f>
        <v>2020</v>
      </c>
      <c r="BJ305" s="5" t="str">
        <f t="shared" si="515"/>
        <v>нет</v>
      </c>
      <c r="BK305" s="5" t="str">
        <f t="shared" si="530"/>
        <v>х</v>
      </c>
      <c r="BL305" s="5" t="str">
        <f t="shared" si="530"/>
        <v>х</v>
      </c>
      <c r="BM305" s="5" t="str">
        <f t="shared" si="530"/>
        <v>х</v>
      </c>
      <c r="BN305" s="5" t="str">
        <f t="shared" si="516"/>
        <v>нет</v>
      </c>
      <c r="BO305" s="5" t="str">
        <f t="shared" si="531"/>
        <v>х</v>
      </c>
      <c r="BP305" s="5" t="str">
        <f t="shared" si="531"/>
        <v>х</v>
      </c>
      <c r="BQ305" s="5" t="str">
        <f t="shared" si="531"/>
        <v>х</v>
      </c>
      <c r="BR305" s="5" t="str">
        <f>""</f>
        <v/>
      </c>
      <c r="BS305" s="5" t="str">
        <f>"70,00"</f>
        <v>70,00</v>
      </c>
      <c r="BT305" s="5" t="str">
        <f>"2020"</f>
        <v>2020</v>
      </c>
      <c r="BU305" s="5" t="str">
        <f t="shared" si="518"/>
        <v>нет</v>
      </c>
      <c r="BV305" s="5" t="str">
        <f t="shared" si="519"/>
        <v>x</v>
      </c>
      <c r="BW305" s="5" t="str">
        <f t="shared" si="519"/>
        <v>x</v>
      </c>
      <c r="BX305" s="5" t="str">
        <f t="shared" si="519"/>
        <v>x</v>
      </c>
      <c r="BY305" s="5" t="str">
        <f t="shared" si="532"/>
        <v>нет</v>
      </c>
      <c r="BZ305" s="5" t="str">
        <f t="shared" si="536"/>
        <v>x</v>
      </c>
      <c r="CA305" s="5" t="str">
        <f>"x"</f>
        <v>x</v>
      </c>
      <c r="CB305" s="5" t="str">
        <f>"x"</f>
        <v>x</v>
      </c>
      <c r="CC305" s="5" t="str">
        <f>""</f>
        <v/>
      </c>
      <c r="CD305" s="5" t="str">
        <f>"60,00"</f>
        <v>60,00</v>
      </c>
      <c r="CE305" s="5" t="str">
        <f>"2020"</f>
        <v>2020</v>
      </c>
      <c r="CF305" s="5" t="str">
        <f>""</f>
        <v/>
      </c>
      <c r="CG305" s="5" t="str">
        <f>"60,00"</f>
        <v>60,00</v>
      </c>
      <c r="CH305" s="5" t="str">
        <f>"2020"</f>
        <v>2020</v>
      </c>
      <c r="CI305" s="5" t="str">
        <f>"69,00"</f>
        <v>69,00</v>
      </c>
      <c r="CJ305" s="5" t="str">
        <f>"2020"</f>
        <v>2020</v>
      </c>
    </row>
    <row r="306" spans="1:88" ht="11.25" customHeight="1">
      <c r="A306" s="3" t="str">
        <f>"1.293"</f>
        <v>1.293</v>
      </c>
      <c r="B306" s="4" t="str">
        <f>"г. Грязовец, ул. Урицкого, д.28"</f>
        <v>г. Грязовец, ул. Урицкого, д.28</v>
      </c>
      <c r="C306" s="7" t="str">
        <f>"1996"</f>
        <v>1996</v>
      </c>
      <c r="D306" s="5" t="str">
        <f>""</f>
        <v/>
      </c>
      <c r="E306" s="5" t="str">
        <f>"10,00"</f>
        <v>10,00</v>
      </c>
      <c r="F306" s="5" t="str">
        <f>"2030"</f>
        <v>2030</v>
      </c>
      <c r="G306" s="5" t="str">
        <f>"да"</f>
        <v>да</v>
      </c>
      <c r="H306" s="5" t="str">
        <f>""</f>
        <v/>
      </c>
      <c r="I306" s="5" t="str">
        <f>"10,00"</f>
        <v>10,00</v>
      </c>
      <c r="J306" s="5" t="str">
        <f>"2030"</f>
        <v>2030</v>
      </c>
      <c r="K306" s="5" t="str">
        <f>"да"</f>
        <v>да</v>
      </c>
      <c r="L306" s="5" t="str">
        <f>""</f>
        <v/>
      </c>
      <c r="M306" s="5" t="str">
        <f>"10,00"</f>
        <v>10,00</v>
      </c>
      <c r="N306" s="5" t="str">
        <f>"2030"</f>
        <v>2030</v>
      </c>
      <c r="O306" s="8" t="str">
        <f>"х"</f>
        <v>х</v>
      </c>
      <c r="P306" s="5" t="str">
        <f>"20,00"</f>
        <v>20,00</v>
      </c>
      <c r="Q306" s="5" t="str">
        <f>"2028"</f>
        <v>2028</v>
      </c>
      <c r="R306" s="5" t="str">
        <f t="shared" si="520"/>
        <v>нет</v>
      </c>
      <c r="S306" s="5" t="str">
        <f t="shared" ref="S306:U308" si="541">"х"</f>
        <v>х</v>
      </c>
      <c r="T306" s="5" t="str">
        <f t="shared" si="541"/>
        <v>х</v>
      </c>
      <c r="U306" s="5" t="str">
        <f t="shared" si="541"/>
        <v>х</v>
      </c>
      <c r="V306" s="5" t="str">
        <f t="shared" si="540"/>
        <v>нет</v>
      </c>
      <c r="W306" s="5" t="str">
        <f t="shared" ref="W306:Y308" si="542">"х"</f>
        <v>х</v>
      </c>
      <c r="X306" s="5" t="str">
        <f t="shared" si="542"/>
        <v>х</v>
      </c>
      <c r="Y306" s="9" t="str">
        <f t="shared" si="542"/>
        <v>х</v>
      </c>
      <c r="Z306" s="5" t="str">
        <f>""</f>
        <v/>
      </c>
      <c r="AA306" s="5" t="str">
        <f>"10,00"</f>
        <v>10,00</v>
      </c>
      <c r="AB306" s="5" t="str">
        <f>"2030"</f>
        <v>2030</v>
      </c>
      <c r="AC306" s="5" t="str">
        <f t="shared" si="523"/>
        <v>нет</v>
      </c>
      <c r="AD306" s="5" t="str">
        <f>""</f>
        <v/>
      </c>
      <c r="AE306" s="5" t="str">
        <f>""</f>
        <v/>
      </c>
      <c r="AF306" s="5" t="str">
        <f>""</f>
        <v/>
      </c>
      <c r="AG306" s="5" t="str">
        <f t="shared" si="524"/>
        <v>нет</v>
      </c>
      <c r="AH306" s="5" t="str">
        <f>""</f>
        <v/>
      </c>
      <c r="AI306" s="5" t="str">
        <f>""</f>
        <v/>
      </c>
      <c r="AJ306" s="5" t="str">
        <f>""</f>
        <v/>
      </c>
      <c r="AK306" s="8" t="str">
        <f t="shared" si="533"/>
        <v>х</v>
      </c>
      <c r="AL306" s="5" t="str">
        <f>"25,00"</f>
        <v>25,00</v>
      </c>
      <c r="AM306" s="5" t="str">
        <f>"2033"</f>
        <v>2033</v>
      </c>
      <c r="AN306" s="5" t="str">
        <f t="shared" si="537"/>
        <v>нет</v>
      </c>
      <c r="AO306" s="5" t="str">
        <f t="shared" si="525"/>
        <v>х</v>
      </c>
      <c r="AP306" s="5" t="str">
        <f t="shared" si="525"/>
        <v>х</v>
      </c>
      <c r="AQ306" s="5" t="str">
        <f t="shared" si="525"/>
        <v>х</v>
      </c>
      <c r="AR306" s="5" t="str">
        <f t="shared" si="538"/>
        <v>нет</v>
      </c>
      <c r="AS306" s="5" t="str">
        <f t="shared" si="526"/>
        <v>х</v>
      </c>
      <c r="AT306" s="5" t="str">
        <f t="shared" si="526"/>
        <v>х</v>
      </c>
      <c r="AU306" s="5" t="str">
        <f t="shared" si="526"/>
        <v>х</v>
      </c>
      <c r="AV306" s="5" t="str">
        <f t="shared" si="534"/>
        <v>х</v>
      </c>
      <c r="AW306" s="5" t="str">
        <f>"10,00"</f>
        <v>10,00</v>
      </c>
      <c r="AX306" s="5" t="str">
        <f>"2028"</f>
        <v>2028</v>
      </c>
      <c r="AY306" s="5" t="str">
        <f t="shared" si="527"/>
        <v>нет</v>
      </c>
      <c r="AZ306" s="5" t="str">
        <f t="shared" si="528"/>
        <v>х</v>
      </c>
      <c r="BA306" s="5" t="str">
        <f t="shared" si="528"/>
        <v>х</v>
      </c>
      <c r="BB306" s="5" t="str">
        <f t="shared" si="528"/>
        <v>х</v>
      </c>
      <c r="BC306" s="5" t="str">
        <f t="shared" si="539"/>
        <v>нет</v>
      </c>
      <c r="BD306" s="5" t="str">
        <f t="shared" si="529"/>
        <v>х</v>
      </c>
      <c r="BE306" s="5" t="str">
        <f t="shared" si="529"/>
        <v>х</v>
      </c>
      <c r="BF306" s="5" t="str">
        <f t="shared" si="529"/>
        <v>х</v>
      </c>
      <c r="BG306" s="5" t="str">
        <f t="shared" si="535"/>
        <v>х</v>
      </c>
      <c r="BH306" s="5" t="str">
        <f>"25,00"</f>
        <v>25,00</v>
      </c>
      <c r="BI306" s="5" t="str">
        <f>"2026"</f>
        <v>2026</v>
      </c>
      <c r="BJ306" s="5" t="str">
        <f t="shared" si="515"/>
        <v>нет</v>
      </c>
      <c r="BK306" s="5" t="str">
        <f t="shared" si="530"/>
        <v>х</v>
      </c>
      <c r="BL306" s="5" t="str">
        <f t="shared" si="530"/>
        <v>х</v>
      </c>
      <c r="BM306" s="5" t="str">
        <f t="shared" si="530"/>
        <v>х</v>
      </c>
      <c r="BN306" s="5" t="str">
        <f t="shared" si="516"/>
        <v>нет</v>
      </c>
      <c r="BO306" s="5" t="str">
        <f t="shared" si="531"/>
        <v>х</v>
      </c>
      <c r="BP306" s="5" t="str">
        <f t="shared" si="531"/>
        <v>х</v>
      </c>
      <c r="BQ306" s="5" t="str">
        <f t="shared" si="531"/>
        <v>х</v>
      </c>
      <c r="BR306" s="5" t="str">
        <f>""</f>
        <v/>
      </c>
      <c r="BS306" s="5" t="str">
        <f>"30,00"</f>
        <v>30,00</v>
      </c>
      <c r="BT306" s="5" t="str">
        <f>"2023"</f>
        <v>2023</v>
      </c>
      <c r="BU306" s="5" t="str">
        <f t="shared" si="518"/>
        <v>нет</v>
      </c>
      <c r="BV306" s="5" t="str">
        <f t="shared" si="519"/>
        <v>x</v>
      </c>
      <c r="BW306" s="5" t="str">
        <f t="shared" si="519"/>
        <v>x</v>
      </c>
      <c r="BX306" s="5" t="str">
        <f t="shared" si="519"/>
        <v>x</v>
      </c>
      <c r="BY306" s="5" t="str">
        <f t="shared" si="532"/>
        <v>нет</v>
      </c>
      <c r="BZ306" s="5" t="str">
        <f t="shared" si="536"/>
        <v>x</v>
      </c>
      <c r="CA306" s="5" t="str">
        <f>"25,00"</f>
        <v>25,00</v>
      </c>
      <c r="CB306" s="5" t="str">
        <f>"2026"</f>
        <v>2026</v>
      </c>
      <c r="CC306" s="5" t="str">
        <f>""</f>
        <v/>
      </c>
      <c r="CD306" s="5" t="str">
        <f>"15,00"</f>
        <v>15,00</v>
      </c>
      <c r="CE306" s="5" t="str">
        <f>"2028"</f>
        <v>2028</v>
      </c>
      <c r="CF306" s="5" t="str">
        <f>""</f>
        <v/>
      </c>
      <c r="CG306" s="5" t="str">
        <f>"15,00"</f>
        <v>15,00</v>
      </c>
      <c r="CH306" s="5" t="str">
        <f>"2025"</f>
        <v>2025</v>
      </c>
      <c r="CI306" s="5" t="str">
        <f>"16,00"</f>
        <v>16,00</v>
      </c>
      <c r="CJ306" s="5" t="str">
        <f>"2040"</f>
        <v>2040</v>
      </c>
    </row>
    <row r="307" spans="1:88" ht="11.25" customHeight="1">
      <c r="A307" s="3" t="str">
        <f>"1.294"</f>
        <v>1.294</v>
      </c>
      <c r="B307" s="4" t="str">
        <f>"г. Грязовец, ул. Урицкого, д.32"</f>
        <v>г. Грязовец, ул. Урицкого, д.32</v>
      </c>
      <c r="C307" s="7" t="str">
        <f>"1985"</f>
        <v>1985</v>
      </c>
      <c r="D307" s="5" t="str">
        <f>""</f>
        <v/>
      </c>
      <c r="E307" s="5" t="str">
        <f>"15,00"</f>
        <v>15,00</v>
      </c>
      <c r="F307" s="5" t="str">
        <f>"2032"</f>
        <v>2032</v>
      </c>
      <c r="G307" s="5" t="str">
        <f>"да"</f>
        <v>да</v>
      </c>
      <c r="H307" s="5" t="str">
        <f>""</f>
        <v/>
      </c>
      <c r="I307" s="5" t="str">
        <f>"15,00"</f>
        <v>15,00</v>
      </c>
      <c r="J307" s="5" t="str">
        <f>"2032"</f>
        <v>2032</v>
      </c>
      <c r="K307" s="5" t="str">
        <f>"да"</f>
        <v>да</v>
      </c>
      <c r="L307" s="5" t="str">
        <f>""</f>
        <v/>
      </c>
      <c r="M307" s="5" t="str">
        <f>"15,00"</f>
        <v>15,00</v>
      </c>
      <c r="N307" s="5" t="str">
        <f>"2032"</f>
        <v>2032</v>
      </c>
      <c r="O307" s="8" t="str">
        <f>"х"</f>
        <v>х</v>
      </c>
      <c r="P307" s="5" t="str">
        <f>"40,00"</f>
        <v>40,00</v>
      </c>
      <c r="Q307" s="5" t="str">
        <f>"2030"</f>
        <v>2030</v>
      </c>
      <c r="R307" s="5" t="str">
        <f t="shared" si="520"/>
        <v>нет</v>
      </c>
      <c r="S307" s="5" t="str">
        <f t="shared" si="541"/>
        <v>х</v>
      </c>
      <c r="T307" s="5" t="str">
        <f t="shared" si="541"/>
        <v>х</v>
      </c>
      <c r="U307" s="5" t="str">
        <f t="shared" si="541"/>
        <v>х</v>
      </c>
      <c r="V307" s="5" t="str">
        <f t="shared" si="540"/>
        <v>нет</v>
      </c>
      <c r="W307" s="5" t="str">
        <f t="shared" si="542"/>
        <v>х</v>
      </c>
      <c r="X307" s="5" t="str">
        <f t="shared" si="542"/>
        <v>х</v>
      </c>
      <c r="Y307" s="9" t="str">
        <f t="shared" si="542"/>
        <v>х</v>
      </c>
      <c r="Z307" s="5" t="str">
        <f>"х"</f>
        <v>х</v>
      </c>
      <c r="AA307" s="5" t="str">
        <f>"15,00"</f>
        <v>15,00</v>
      </c>
      <c r="AB307" s="5" t="str">
        <f>"2030"</f>
        <v>2030</v>
      </c>
      <c r="AC307" s="5" t="str">
        <f t="shared" si="523"/>
        <v>нет</v>
      </c>
      <c r="AD307" s="5" t="str">
        <f>"х"</f>
        <v>х</v>
      </c>
      <c r="AE307" s="5" t="str">
        <f>"х"</f>
        <v>х</v>
      </c>
      <c r="AF307" s="5" t="str">
        <f>"х"</f>
        <v>х</v>
      </c>
      <c r="AG307" s="5" t="str">
        <f t="shared" si="524"/>
        <v>нет</v>
      </c>
      <c r="AH307" s="5" t="str">
        <f>"х"</f>
        <v>х</v>
      </c>
      <c r="AI307" s="5" t="str">
        <f>"х"</f>
        <v>х</v>
      </c>
      <c r="AJ307" s="5" t="str">
        <f>"х"</f>
        <v>х</v>
      </c>
      <c r="AK307" s="8" t="str">
        <f t="shared" si="533"/>
        <v>х</v>
      </c>
      <c r="AL307" s="5" t="str">
        <f>"40,00"</f>
        <v>40,00</v>
      </c>
      <c r="AM307" s="5" t="str">
        <f>"2030"</f>
        <v>2030</v>
      </c>
      <c r="AN307" s="5" t="str">
        <f t="shared" si="537"/>
        <v>нет</v>
      </c>
      <c r="AO307" s="5" t="str">
        <f t="shared" si="525"/>
        <v>х</v>
      </c>
      <c r="AP307" s="5" t="str">
        <f t="shared" si="525"/>
        <v>х</v>
      </c>
      <c r="AQ307" s="5" t="str">
        <f t="shared" si="525"/>
        <v>х</v>
      </c>
      <c r="AR307" s="5" t="str">
        <f t="shared" si="538"/>
        <v>нет</v>
      </c>
      <c r="AS307" s="5" t="str">
        <f t="shared" si="526"/>
        <v>х</v>
      </c>
      <c r="AT307" s="5" t="str">
        <f t="shared" si="526"/>
        <v>х</v>
      </c>
      <c r="AU307" s="5" t="str">
        <f t="shared" si="526"/>
        <v>х</v>
      </c>
      <c r="AV307" s="5" t="str">
        <f t="shared" si="534"/>
        <v>х</v>
      </c>
      <c r="AW307" s="5" t="str">
        <f>"20,00"</f>
        <v>20,00</v>
      </c>
      <c r="AX307" s="5" t="str">
        <f>"2030"</f>
        <v>2030</v>
      </c>
      <c r="AY307" s="5" t="str">
        <f t="shared" si="527"/>
        <v>нет</v>
      </c>
      <c r="AZ307" s="5" t="str">
        <f t="shared" si="528"/>
        <v>х</v>
      </c>
      <c r="BA307" s="5" t="str">
        <f t="shared" si="528"/>
        <v>х</v>
      </c>
      <c r="BB307" s="5" t="str">
        <f t="shared" si="528"/>
        <v>х</v>
      </c>
      <c r="BC307" s="5" t="str">
        <f t="shared" si="539"/>
        <v>нет</v>
      </c>
      <c r="BD307" s="5" t="str">
        <f t="shared" si="529"/>
        <v>х</v>
      </c>
      <c r="BE307" s="5" t="str">
        <f t="shared" si="529"/>
        <v>х</v>
      </c>
      <c r="BF307" s="5" t="str">
        <f t="shared" si="529"/>
        <v>х</v>
      </c>
      <c r="BG307" s="5" t="str">
        <f t="shared" si="535"/>
        <v>х</v>
      </c>
      <c r="BH307" s="5" t="str">
        <f>"40,00"</f>
        <v>40,00</v>
      </c>
      <c r="BI307" s="5" t="str">
        <f>"2025"</f>
        <v>2025</v>
      </c>
      <c r="BJ307" s="5" t="str">
        <f t="shared" si="515"/>
        <v>нет</v>
      </c>
      <c r="BK307" s="5" t="str">
        <f t="shared" si="530"/>
        <v>х</v>
      </c>
      <c r="BL307" s="5" t="str">
        <f t="shared" si="530"/>
        <v>х</v>
      </c>
      <c r="BM307" s="5" t="str">
        <f t="shared" si="530"/>
        <v>х</v>
      </c>
      <c r="BN307" s="5" t="str">
        <f t="shared" si="516"/>
        <v>нет</v>
      </c>
      <c r="BO307" s="5" t="str">
        <f t="shared" si="531"/>
        <v>х</v>
      </c>
      <c r="BP307" s="5" t="str">
        <f t="shared" si="531"/>
        <v>х</v>
      </c>
      <c r="BQ307" s="5" t="str">
        <f t="shared" si="531"/>
        <v>х</v>
      </c>
      <c r="BR307" s="5" t="str">
        <f>""</f>
        <v/>
      </c>
      <c r="BS307" s="5" t="str">
        <f>"40,00"</f>
        <v>40,00</v>
      </c>
      <c r="BT307" s="5" t="str">
        <f>"2025"</f>
        <v>2025</v>
      </c>
      <c r="BU307" s="5" t="str">
        <f t="shared" si="518"/>
        <v>нет</v>
      </c>
      <c r="BV307" s="5" t="str">
        <f t="shared" si="519"/>
        <v>x</v>
      </c>
      <c r="BW307" s="5" t="str">
        <f t="shared" si="519"/>
        <v>x</v>
      </c>
      <c r="BX307" s="5" t="str">
        <f t="shared" si="519"/>
        <v>x</v>
      </c>
      <c r="BY307" s="5" t="str">
        <f t="shared" si="532"/>
        <v>нет</v>
      </c>
      <c r="BZ307" s="5" t="str">
        <f t="shared" si="536"/>
        <v>x</v>
      </c>
      <c r="CA307" s="5" t="str">
        <f>"45,00"</f>
        <v>45,00</v>
      </c>
      <c r="CB307" s="5" t="str">
        <f>"2025"</f>
        <v>2025</v>
      </c>
      <c r="CC307" s="5" t="str">
        <f>""</f>
        <v/>
      </c>
      <c r="CD307" s="5" t="str">
        <f>"15,00"</f>
        <v>15,00</v>
      </c>
      <c r="CE307" s="5" t="str">
        <f>"2025"</f>
        <v>2025</v>
      </c>
      <c r="CF307" s="5" t="str">
        <f>""</f>
        <v/>
      </c>
      <c r="CG307" s="5" t="str">
        <f>"20,00"</f>
        <v>20,00</v>
      </c>
      <c r="CH307" s="5" t="str">
        <f>"2025"</f>
        <v>2025</v>
      </c>
      <c r="CI307" s="5" t="str">
        <f>"19,00"</f>
        <v>19,00</v>
      </c>
      <c r="CJ307" s="5" t="str">
        <f>"2035"</f>
        <v>2035</v>
      </c>
    </row>
    <row r="308" spans="1:88" ht="11.25" customHeight="1">
      <c r="A308" s="3" t="str">
        <f>"1.295"</f>
        <v>1.295</v>
      </c>
      <c r="B308" s="4" t="str">
        <f>"г. Грязовец, ул. Урицкого, д.4"</f>
        <v>г. Грязовец, ул. Урицкого, д.4</v>
      </c>
      <c r="C308" s="7" t="str">
        <f>"1969"</f>
        <v>1969</v>
      </c>
      <c r="D308" s="5" t="str">
        <f>""</f>
        <v/>
      </c>
      <c r="E308" s="5" t="str">
        <f>"46,00"</f>
        <v>46,00</v>
      </c>
      <c r="F308" s="5" t="str">
        <f>"2020"</f>
        <v>2020</v>
      </c>
      <c r="G308" s="5" t="str">
        <f>"нет"</f>
        <v>нет</v>
      </c>
      <c r="H308" s="5" t="str">
        <f>""</f>
        <v/>
      </c>
      <c r="I308" s="5" t="str">
        <f>""</f>
        <v/>
      </c>
      <c r="J308" s="5" t="str">
        <f>""</f>
        <v/>
      </c>
      <c r="K308" s="5" t="str">
        <f t="shared" ref="K308:K313" si="543">"нет"</f>
        <v>нет</v>
      </c>
      <c r="L308" s="5" t="str">
        <f>""</f>
        <v/>
      </c>
      <c r="M308" s="5" t="str">
        <f>""</f>
        <v/>
      </c>
      <c r="N308" s="5" t="str">
        <f>""</f>
        <v/>
      </c>
      <c r="O308" s="8" t="str">
        <f>"х"</f>
        <v>х</v>
      </c>
      <c r="P308" s="5" t="str">
        <f>"49,00"</f>
        <v>49,00</v>
      </c>
      <c r="Q308" s="5" t="str">
        <f>"2020"</f>
        <v>2020</v>
      </c>
      <c r="R308" s="5" t="str">
        <f t="shared" si="520"/>
        <v>нет</v>
      </c>
      <c r="S308" s="5" t="str">
        <f t="shared" si="541"/>
        <v>х</v>
      </c>
      <c r="T308" s="5" t="str">
        <f t="shared" si="541"/>
        <v>х</v>
      </c>
      <c r="U308" s="5" t="str">
        <f t="shared" si="541"/>
        <v>х</v>
      </c>
      <c r="V308" s="5" t="str">
        <f t="shared" si="540"/>
        <v>нет</v>
      </c>
      <c r="W308" s="5" t="str">
        <f t="shared" si="542"/>
        <v>х</v>
      </c>
      <c r="X308" s="5" t="str">
        <f t="shared" si="542"/>
        <v>х</v>
      </c>
      <c r="Y308" s="9" t="str">
        <f t="shared" si="542"/>
        <v>х</v>
      </c>
      <c r="Z308" s="5" t="str">
        <f>""</f>
        <v/>
      </c>
      <c r="AA308" s="5" t="str">
        <f>"30,00"</f>
        <v>30,00</v>
      </c>
      <c r="AB308" s="5" t="str">
        <f>"2020"</f>
        <v>2020</v>
      </c>
      <c r="AC308" s="5" t="str">
        <f t="shared" si="523"/>
        <v>нет</v>
      </c>
      <c r="AD308" s="5" t="str">
        <f>""</f>
        <v/>
      </c>
      <c r="AE308" s="5" t="str">
        <f>""</f>
        <v/>
      </c>
      <c r="AF308" s="5" t="str">
        <f>""</f>
        <v/>
      </c>
      <c r="AG308" s="5" t="str">
        <f t="shared" si="524"/>
        <v>нет</v>
      </c>
      <c r="AH308" s="5" t="str">
        <f>""</f>
        <v/>
      </c>
      <c r="AI308" s="5" t="str">
        <f>""</f>
        <v/>
      </c>
      <c r="AJ308" s="5" t="str">
        <f>""</f>
        <v/>
      </c>
      <c r="AK308" s="8" t="str">
        <f t="shared" si="533"/>
        <v>х</v>
      </c>
      <c r="AL308" s="5" t="str">
        <f>"50,00"</f>
        <v>50,00</v>
      </c>
      <c r="AM308" s="5" t="str">
        <f>"2022"</f>
        <v>2022</v>
      </c>
      <c r="AN308" s="5" t="str">
        <f t="shared" si="537"/>
        <v>нет</v>
      </c>
      <c r="AO308" s="5" t="str">
        <f t="shared" si="525"/>
        <v>х</v>
      </c>
      <c r="AP308" s="5" t="str">
        <f t="shared" si="525"/>
        <v>х</v>
      </c>
      <c r="AQ308" s="5" t="str">
        <f t="shared" si="525"/>
        <v>х</v>
      </c>
      <c r="AR308" s="5" t="str">
        <f t="shared" si="538"/>
        <v>нет</v>
      </c>
      <c r="AS308" s="5" t="str">
        <f t="shared" si="526"/>
        <v>х</v>
      </c>
      <c r="AT308" s="5" t="str">
        <f t="shared" si="526"/>
        <v>х</v>
      </c>
      <c r="AU308" s="5" t="str">
        <f t="shared" si="526"/>
        <v>х</v>
      </c>
      <c r="AV308" s="5" t="str">
        <f t="shared" si="534"/>
        <v>х</v>
      </c>
      <c r="AW308" s="5" t="str">
        <f>"20,00"</f>
        <v>20,00</v>
      </c>
      <c r="AX308" s="5" t="str">
        <f>"2020"</f>
        <v>2020</v>
      </c>
      <c r="AY308" s="5" t="str">
        <f t="shared" si="527"/>
        <v>нет</v>
      </c>
      <c r="AZ308" s="5" t="str">
        <f t="shared" si="528"/>
        <v>х</v>
      </c>
      <c r="BA308" s="5" t="str">
        <f t="shared" si="528"/>
        <v>х</v>
      </c>
      <c r="BB308" s="5" t="str">
        <f t="shared" si="528"/>
        <v>х</v>
      </c>
      <c r="BC308" s="5" t="str">
        <f t="shared" si="539"/>
        <v>нет</v>
      </c>
      <c r="BD308" s="5" t="str">
        <f t="shared" si="529"/>
        <v>х</v>
      </c>
      <c r="BE308" s="5" t="str">
        <f t="shared" si="529"/>
        <v>х</v>
      </c>
      <c r="BF308" s="5" t="str">
        <f t="shared" si="529"/>
        <v>х</v>
      </c>
      <c r="BG308" s="5" t="str">
        <f t="shared" si="535"/>
        <v>х</v>
      </c>
      <c r="BH308" s="5" t="str">
        <f>"30,00"</f>
        <v>30,00</v>
      </c>
      <c r="BI308" s="5" t="str">
        <f>"2022"</f>
        <v>2022</v>
      </c>
      <c r="BJ308" s="5" t="str">
        <f t="shared" si="515"/>
        <v>нет</v>
      </c>
      <c r="BK308" s="5" t="str">
        <f t="shared" si="530"/>
        <v>х</v>
      </c>
      <c r="BL308" s="5" t="str">
        <f t="shared" si="530"/>
        <v>х</v>
      </c>
      <c r="BM308" s="5" t="str">
        <f t="shared" si="530"/>
        <v>х</v>
      </c>
      <c r="BN308" s="5" t="str">
        <f t="shared" si="516"/>
        <v>нет</v>
      </c>
      <c r="BO308" s="5" t="str">
        <f t="shared" si="531"/>
        <v>х</v>
      </c>
      <c r="BP308" s="5" t="str">
        <f t="shared" si="531"/>
        <v>х</v>
      </c>
      <c r="BQ308" s="5" t="str">
        <f t="shared" si="531"/>
        <v>х</v>
      </c>
      <c r="BR308" s="5" t="str">
        <f>""</f>
        <v/>
      </c>
      <c r="BS308" s="5" t="str">
        <f>"40,00"</f>
        <v>40,00</v>
      </c>
      <c r="BT308" s="5" t="str">
        <f>"2020"</f>
        <v>2020</v>
      </c>
      <c r="BU308" s="5" t="str">
        <f t="shared" si="518"/>
        <v>нет</v>
      </c>
      <c r="BV308" s="5" t="str">
        <f t="shared" si="519"/>
        <v>x</v>
      </c>
      <c r="BW308" s="5" t="str">
        <f t="shared" si="519"/>
        <v>x</v>
      </c>
      <c r="BX308" s="5" t="str">
        <f t="shared" si="519"/>
        <v>x</v>
      </c>
      <c r="BY308" s="5" t="str">
        <f t="shared" si="532"/>
        <v>нет</v>
      </c>
      <c r="BZ308" s="5" t="str">
        <f t="shared" si="536"/>
        <v>x</v>
      </c>
      <c r="CA308" s="5" t="str">
        <f>"30,00"</f>
        <v>30,00</v>
      </c>
      <c r="CB308" s="5" t="str">
        <f>"2022"</f>
        <v>2022</v>
      </c>
      <c r="CC308" s="5" t="str">
        <f>""</f>
        <v/>
      </c>
      <c r="CD308" s="5" t="str">
        <f>"40,00"</f>
        <v>40,00</v>
      </c>
      <c r="CE308" s="5" t="str">
        <f>"2025"</f>
        <v>2025</v>
      </c>
      <c r="CF308" s="5" t="str">
        <f>""</f>
        <v/>
      </c>
      <c r="CG308" s="5" t="str">
        <f>"20,00"</f>
        <v>20,00</v>
      </c>
      <c r="CH308" s="5" t="str">
        <f>"2025"</f>
        <v>2025</v>
      </c>
      <c r="CI308" s="5" t="str">
        <f>"34,00"</f>
        <v>34,00</v>
      </c>
      <c r="CJ308" s="5" t="str">
        <f>"2025"</f>
        <v>2025</v>
      </c>
    </row>
    <row r="309" spans="1:88" ht="11.25" customHeight="1">
      <c r="A309" s="3" t="str">
        <f>"1.296"</f>
        <v>1.296</v>
      </c>
      <c r="B309" s="4" t="str">
        <f>"г. Грязовец, ул. Урицкого, д.57"</f>
        <v>г. Грязовец, ул. Урицкого, д.57</v>
      </c>
      <c r="C309" s="7" t="str">
        <f>"1999"</f>
        <v>1999</v>
      </c>
      <c r="D309" s="5" t="str">
        <f>""</f>
        <v/>
      </c>
      <c r="E309" s="5" t="str">
        <f>"20,00"</f>
        <v>20,00</v>
      </c>
      <c r="F309" s="5" t="str">
        <f>"2030"</f>
        <v>2030</v>
      </c>
      <c r="G309" s="5" t="str">
        <f>"нет"</f>
        <v>нет</v>
      </c>
      <c r="H309" s="5" t="str">
        <f>""</f>
        <v/>
      </c>
      <c r="I309" s="5" t="str">
        <f>""</f>
        <v/>
      </c>
      <c r="J309" s="5" t="str">
        <f>""</f>
        <v/>
      </c>
      <c r="K309" s="5" t="str">
        <f t="shared" si="543"/>
        <v>нет</v>
      </c>
      <c r="L309" s="5" t="str">
        <f>""</f>
        <v/>
      </c>
      <c r="M309" s="5" t="str">
        <f>""</f>
        <v/>
      </c>
      <c r="N309" s="5" t="str">
        <f>""</f>
        <v/>
      </c>
      <c r="O309" s="8" t="str">
        <f>""</f>
        <v/>
      </c>
      <c r="P309" s="5" t="str">
        <f>"20,00"</f>
        <v>20,00</v>
      </c>
      <c r="Q309" s="5" t="str">
        <f>"2025"</f>
        <v>2025</v>
      </c>
      <c r="R309" s="5" t="str">
        <f t="shared" si="520"/>
        <v>нет</v>
      </c>
      <c r="S309" s="5" t="str">
        <f>""</f>
        <v/>
      </c>
      <c r="T309" s="5" t="str">
        <f>""</f>
        <v/>
      </c>
      <c r="U309" s="5" t="str">
        <f>""</f>
        <v/>
      </c>
      <c r="V309" s="5" t="str">
        <f t="shared" si="540"/>
        <v>нет</v>
      </c>
      <c r="W309" s="5" t="str">
        <f>""</f>
        <v/>
      </c>
      <c r="X309" s="5" t="str">
        <f>""</f>
        <v/>
      </c>
      <c r="Y309" s="9" t="str">
        <f>""</f>
        <v/>
      </c>
      <c r="Z309" s="5" t="str">
        <f>"х"</f>
        <v>х</v>
      </c>
      <c r="AA309" s="5" t="str">
        <f>"15,00"</f>
        <v>15,00</v>
      </c>
      <c r="AB309" s="5" t="str">
        <f>"2030"</f>
        <v>2030</v>
      </c>
      <c r="AC309" s="5" t="str">
        <f t="shared" si="523"/>
        <v>нет</v>
      </c>
      <c r="AD309" s="5" t="str">
        <f>"х"</f>
        <v>х</v>
      </c>
      <c r="AE309" s="5" t="str">
        <f>"х"</f>
        <v>х</v>
      </c>
      <c r="AF309" s="5" t="str">
        <f>"х"</f>
        <v>х</v>
      </c>
      <c r="AG309" s="5" t="str">
        <f t="shared" si="524"/>
        <v>нет</v>
      </c>
      <c r="AH309" s="5" t="str">
        <f>"х"</f>
        <v>х</v>
      </c>
      <c r="AI309" s="5" t="str">
        <f>"х"</f>
        <v>х</v>
      </c>
      <c r="AJ309" s="5" t="str">
        <f>"х"</f>
        <v>х</v>
      </c>
      <c r="AK309" s="8" t="str">
        <f>""</f>
        <v/>
      </c>
      <c r="AL309" s="5" t="str">
        <f>"20,00"</f>
        <v>20,00</v>
      </c>
      <c r="AM309" s="5" t="str">
        <f>"2030"</f>
        <v>2030</v>
      </c>
      <c r="AN309" s="5" t="str">
        <f t="shared" si="537"/>
        <v>нет</v>
      </c>
      <c r="AO309" s="5" t="str">
        <f>""</f>
        <v/>
      </c>
      <c r="AP309" s="5" t="str">
        <f>""</f>
        <v/>
      </c>
      <c r="AQ309" s="5" t="str">
        <f>""</f>
        <v/>
      </c>
      <c r="AR309" s="5" t="str">
        <f t="shared" si="538"/>
        <v>нет</v>
      </c>
      <c r="AS309" s="5" t="str">
        <f>""</f>
        <v/>
      </c>
      <c r="AT309" s="5" t="str">
        <f>""</f>
        <v/>
      </c>
      <c r="AU309" s="5" t="str">
        <f>""</f>
        <v/>
      </c>
      <c r="AV309" s="5" t="str">
        <f>""</f>
        <v/>
      </c>
      <c r="AW309" s="5" t="str">
        <f>"20,00"</f>
        <v>20,00</v>
      </c>
      <c r="AX309" s="5" t="str">
        <f>"2025"</f>
        <v>2025</v>
      </c>
      <c r="AY309" s="5" t="str">
        <f t="shared" si="527"/>
        <v>нет</v>
      </c>
      <c r="AZ309" s="5" t="str">
        <f>""</f>
        <v/>
      </c>
      <c r="BA309" s="5" t="str">
        <f>""</f>
        <v/>
      </c>
      <c r="BB309" s="5" t="str">
        <f>""</f>
        <v/>
      </c>
      <c r="BC309" s="5" t="str">
        <f t="shared" si="539"/>
        <v>нет</v>
      </c>
      <c r="BD309" s="5" t="str">
        <f>""</f>
        <v/>
      </c>
      <c r="BE309" s="5" t="str">
        <f>""</f>
        <v/>
      </c>
      <c r="BF309" s="5" t="str">
        <f>""</f>
        <v/>
      </c>
      <c r="BG309" s="5" t="str">
        <f>""</f>
        <v/>
      </c>
      <c r="BH309" s="5" t="str">
        <f>"15,00"</f>
        <v>15,00</v>
      </c>
      <c r="BI309" s="5" t="str">
        <f>"2030"</f>
        <v>2030</v>
      </c>
      <c r="BJ309" s="5" t="str">
        <f t="shared" si="515"/>
        <v>нет</v>
      </c>
      <c r="BK309" s="5" t="str">
        <f>""</f>
        <v/>
      </c>
      <c r="BL309" s="5" t="str">
        <f>""</f>
        <v/>
      </c>
      <c r="BM309" s="5" t="str">
        <f>""</f>
        <v/>
      </c>
      <c r="BN309" s="5" t="str">
        <f t="shared" si="516"/>
        <v>нет</v>
      </c>
      <c r="BO309" s="5" t="str">
        <f>""</f>
        <v/>
      </c>
      <c r="BP309" s="5" t="str">
        <f>""</f>
        <v/>
      </c>
      <c r="BQ309" s="5" t="str">
        <f>""</f>
        <v/>
      </c>
      <c r="BR309" s="5" t="str">
        <f>""</f>
        <v/>
      </c>
      <c r="BS309" s="5" t="str">
        <f>"30,00"</f>
        <v>30,00</v>
      </c>
      <c r="BT309" s="5" t="str">
        <f>"2020"</f>
        <v>2020</v>
      </c>
      <c r="BU309" s="5" t="str">
        <f t="shared" si="518"/>
        <v>нет</v>
      </c>
      <c r="BV309" s="5" t="str">
        <f t="shared" si="519"/>
        <v>x</v>
      </c>
      <c r="BW309" s="5" t="str">
        <f t="shared" si="519"/>
        <v>x</v>
      </c>
      <c r="BX309" s="5" t="str">
        <f t="shared" si="519"/>
        <v>x</v>
      </c>
      <c r="BY309" s="5" t="str">
        <f t="shared" si="532"/>
        <v>нет</v>
      </c>
      <c r="BZ309" s="5" t="str">
        <f t="shared" si="536"/>
        <v>x</v>
      </c>
      <c r="CA309" s="5" t="str">
        <f>"x"</f>
        <v>x</v>
      </c>
      <c r="CB309" s="5" t="str">
        <f>"x"</f>
        <v>x</v>
      </c>
      <c r="CC309" s="5" t="str">
        <f>""</f>
        <v/>
      </c>
      <c r="CD309" s="5" t="str">
        <f>"30,00"</f>
        <v>30,00</v>
      </c>
      <c r="CE309" s="5" t="str">
        <f>"2020"</f>
        <v>2020</v>
      </c>
      <c r="CF309" s="5" t="str">
        <f>""</f>
        <v/>
      </c>
      <c r="CG309" s="5" t="str">
        <f>"30,00"</f>
        <v>30,00</v>
      </c>
      <c r="CH309" s="5" t="str">
        <f>"2020"</f>
        <v>2020</v>
      </c>
      <c r="CI309" s="5" t="str">
        <f>"17,00"</f>
        <v>17,00</v>
      </c>
      <c r="CJ309" s="5" t="str">
        <f>"2030"</f>
        <v>2030</v>
      </c>
    </row>
    <row r="310" spans="1:88" ht="11.25" customHeight="1">
      <c r="A310" s="3" t="str">
        <f>"1.297"</f>
        <v>1.297</v>
      </c>
      <c r="B310" s="4" t="str">
        <f>"г. Грязовец, ул. Урицкого, д.6"</f>
        <v>г. Грязовец, ул. Урицкого, д.6</v>
      </c>
      <c r="C310" s="7" t="str">
        <f>"1979"</f>
        <v>1979</v>
      </c>
      <c r="D310" s="5" t="str">
        <f>""</f>
        <v/>
      </c>
      <c r="E310" s="5" t="str">
        <f>"20,00"</f>
        <v>20,00</v>
      </c>
      <c r="F310" s="5" t="str">
        <f>"2026"</f>
        <v>2026</v>
      </c>
      <c r="G310" s="5" t="str">
        <f>"да"</f>
        <v>да</v>
      </c>
      <c r="H310" s="5" t="str">
        <f>""</f>
        <v/>
      </c>
      <c r="I310" s="5" t="str">
        <f>"20,00"</f>
        <v>20,00</v>
      </c>
      <c r="J310" s="5" t="str">
        <f>"2026"</f>
        <v>2026</v>
      </c>
      <c r="K310" s="5" t="str">
        <f t="shared" si="543"/>
        <v>нет</v>
      </c>
      <c r="L310" s="5" t="str">
        <f>""</f>
        <v/>
      </c>
      <c r="M310" s="5" t="str">
        <f>""</f>
        <v/>
      </c>
      <c r="N310" s="5" t="str">
        <f>""</f>
        <v/>
      </c>
      <c r="O310" s="8" t="str">
        <f>"х"</f>
        <v>х</v>
      </c>
      <c r="P310" s="5" t="str">
        <f>"30,00"</f>
        <v>30,00</v>
      </c>
      <c r="Q310" s="5" t="str">
        <f>"2026"</f>
        <v>2026</v>
      </c>
      <c r="R310" s="5" t="str">
        <f t="shared" si="520"/>
        <v>нет</v>
      </c>
      <c r="S310" s="5" t="str">
        <f>"х"</f>
        <v>х</v>
      </c>
      <c r="T310" s="5" t="str">
        <f>"х"</f>
        <v>х</v>
      </c>
      <c r="U310" s="5" t="str">
        <f>"х"</f>
        <v>х</v>
      </c>
      <c r="V310" s="5" t="str">
        <f t="shared" si="540"/>
        <v>нет</v>
      </c>
      <c r="W310" s="5" t="str">
        <f>"х"</f>
        <v>х</v>
      </c>
      <c r="X310" s="5" t="str">
        <f>"х"</f>
        <v>х</v>
      </c>
      <c r="Y310" s="9" t="str">
        <f>"х"</f>
        <v>х</v>
      </c>
      <c r="Z310" s="5" t="str">
        <f>""</f>
        <v/>
      </c>
      <c r="AA310" s="5" t="str">
        <f>"15,00"</f>
        <v>15,00</v>
      </c>
      <c r="AB310" s="5" t="str">
        <f>"2030"</f>
        <v>2030</v>
      </c>
      <c r="AC310" s="5" t="str">
        <f t="shared" si="523"/>
        <v>нет</v>
      </c>
      <c r="AD310" s="5" t="str">
        <f>""</f>
        <v/>
      </c>
      <c r="AE310" s="5" t="str">
        <f>""</f>
        <v/>
      </c>
      <c r="AF310" s="5" t="str">
        <f>""</f>
        <v/>
      </c>
      <c r="AG310" s="5" t="str">
        <f t="shared" si="524"/>
        <v>нет</v>
      </c>
      <c r="AH310" s="5" t="str">
        <f>""</f>
        <v/>
      </c>
      <c r="AI310" s="5" t="str">
        <f>""</f>
        <v/>
      </c>
      <c r="AJ310" s="5" t="str">
        <f>""</f>
        <v/>
      </c>
      <c r="AK310" s="8" t="str">
        <f>"х"</f>
        <v>х</v>
      </c>
      <c r="AL310" s="5" t="str">
        <f>"30,00"</f>
        <v>30,00</v>
      </c>
      <c r="AM310" s="5" t="str">
        <f>"2020"</f>
        <v>2020</v>
      </c>
      <c r="AN310" s="5" t="str">
        <f t="shared" si="537"/>
        <v>нет</v>
      </c>
      <c r="AO310" s="5" t="str">
        <f t="shared" ref="AO310:AV310" si="544">"х"</f>
        <v>х</v>
      </c>
      <c r="AP310" s="5" t="str">
        <f t="shared" si="544"/>
        <v>х</v>
      </c>
      <c r="AQ310" s="5" t="str">
        <f t="shared" si="544"/>
        <v>х</v>
      </c>
      <c r="AR310" s="5" t="str">
        <f t="shared" si="544"/>
        <v>х</v>
      </c>
      <c r="AS310" s="5" t="str">
        <f t="shared" si="544"/>
        <v>х</v>
      </c>
      <c r="AT310" s="5" t="str">
        <f t="shared" si="544"/>
        <v>х</v>
      </c>
      <c r="AU310" s="5" t="str">
        <f t="shared" si="544"/>
        <v>х</v>
      </c>
      <c r="AV310" s="5" t="str">
        <f t="shared" si="544"/>
        <v>х</v>
      </c>
      <c r="AW310" s="5" t="str">
        <f>"20,00"</f>
        <v>20,00</v>
      </c>
      <c r="AX310" s="5" t="str">
        <f>"2020"</f>
        <v>2020</v>
      </c>
      <c r="AY310" s="5" t="str">
        <f t="shared" si="527"/>
        <v>нет</v>
      </c>
      <c r="AZ310" s="5" t="str">
        <f>"х"</f>
        <v>х</v>
      </c>
      <c r="BA310" s="5" t="str">
        <f>"х"</f>
        <v>х</v>
      </c>
      <c r="BB310" s="5" t="str">
        <f>"х"</f>
        <v>х</v>
      </c>
      <c r="BC310" s="5" t="str">
        <f t="shared" si="539"/>
        <v>нет</v>
      </c>
      <c r="BD310" s="5" t="str">
        <f>"х"</f>
        <v>х</v>
      </c>
      <c r="BE310" s="5" t="str">
        <f>"х"</f>
        <v>х</v>
      </c>
      <c r="BF310" s="5" t="str">
        <f>"х"</f>
        <v>х</v>
      </c>
      <c r="BG310" s="5" t="str">
        <f>"х"</f>
        <v>х</v>
      </c>
      <c r="BH310" s="5" t="str">
        <f>"30,00"</f>
        <v>30,00</v>
      </c>
      <c r="BI310" s="5" t="str">
        <f>"2020"</f>
        <v>2020</v>
      </c>
      <c r="BJ310" s="5" t="str">
        <f t="shared" si="515"/>
        <v>нет</v>
      </c>
      <c r="BK310" s="5" t="str">
        <f>"х"</f>
        <v>х</v>
      </c>
      <c r="BL310" s="5" t="str">
        <f>"х"</f>
        <v>х</v>
      </c>
      <c r="BM310" s="5" t="str">
        <f>"х"</f>
        <v>х</v>
      </c>
      <c r="BN310" s="5" t="str">
        <f t="shared" si="516"/>
        <v>нет</v>
      </c>
      <c r="BO310" s="5" t="str">
        <f>"х"</f>
        <v>х</v>
      </c>
      <c r="BP310" s="5" t="str">
        <f>"х"</f>
        <v>х</v>
      </c>
      <c r="BQ310" s="5" t="str">
        <f>"х"</f>
        <v>х</v>
      </c>
      <c r="BR310" s="5" t="str">
        <f>""</f>
        <v/>
      </c>
      <c r="BS310" s="5" t="str">
        <f>"50,00"</f>
        <v>50,00</v>
      </c>
      <c r="BT310" s="5" t="str">
        <f>"2020"</f>
        <v>2020</v>
      </c>
      <c r="BU310" s="5" t="str">
        <f t="shared" si="518"/>
        <v>нет</v>
      </c>
      <c r="BV310" s="5" t="str">
        <f t="shared" si="519"/>
        <v>x</v>
      </c>
      <c r="BW310" s="5" t="str">
        <f t="shared" si="519"/>
        <v>x</v>
      </c>
      <c r="BX310" s="5" t="str">
        <f t="shared" si="519"/>
        <v>x</v>
      </c>
      <c r="BY310" s="5" t="str">
        <f t="shared" si="532"/>
        <v>нет</v>
      </c>
      <c r="BZ310" s="5" t="str">
        <f t="shared" si="536"/>
        <v>x</v>
      </c>
      <c r="CA310" s="5" t="str">
        <f>"20,00"</f>
        <v>20,00</v>
      </c>
      <c r="CB310" s="5" t="str">
        <f>"2020"</f>
        <v>2020</v>
      </c>
      <c r="CC310" s="5" t="str">
        <f>""</f>
        <v/>
      </c>
      <c r="CD310" s="5" t="str">
        <f>"30,00"</f>
        <v>30,00</v>
      </c>
      <c r="CE310" s="5" t="str">
        <f>"2025"</f>
        <v>2025</v>
      </c>
      <c r="CF310" s="5" t="str">
        <f>""</f>
        <v/>
      </c>
      <c r="CG310" s="5" t="str">
        <f>"20,00"</f>
        <v>20,00</v>
      </c>
      <c r="CH310" s="5" t="str">
        <f>"2025"</f>
        <v>2025</v>
      </c>
      <c r="CI310" s="5" t="str">
        <f>"20,00"</f>
        <v>20,00</v>
      </c>
      <c r="CJ310" s="5" t="str">
        <f>"2030"</f>
        <v>2030</v>
      </c>
    </row>
    <row r="311" spans="1:88" ht="11.25" customHeight="1">
      <c r="A311" s="3" t="str">
        <f>"1.298"</f>
        <v>1.298</v>
      </c>
      <c r="B311" s="4" t="str">
        <f>"г. Грязовец, ул. Урицкого, д.70"</f>
        <v>г. Грязовец, ул. Урицкого, д.70</v>
      </c>
      <c r="C311" s="7" t="str">
        <f>"1957"</f>
        <v>1957</v>
      </c>
      <c r="D311" s="5" t="str">
        <f>""</f>
        <v/>
      </c>
      <c r="E311" s="5" t="str">
        <f>"40,00"</f>
        <v>40,00</v>
      </c>
      <c r="F311" s="5" t="str">
        <f>"2019"</f>
        <v>2019</v>
      </c>
      <c r="G311" s="5" t="str">
        <f>"нет"</f>
        <v>нет</v>
      </c>
      <c r="H311" s="5" t="str">
        <f>""</f>
        <v/>
      </c>
      <c r="I311" s="5" t="str">
        <f>""</f>
        <v/>
      </c>
      <c r="J311" s="5" t="str">
        <f>""</f>
        <v/>
      </c>
      <c r="K311" s="5" t="str">
        <f t="shared" si="543"/>
        <v>нет</v>
      </c>
      <c r="L311" s="5" t="str">
        <f>""</f>
        <v/>
      </c>
      <c r="M311" s="5" t="str">
        <f>""</f>
        <v/>
      </c>
      <c r="N311" s="5" t="str">
        <f>""</f>
        <v/>
      </c>
      <c r="O311" s="8" t="str">
        <f>""</f>
        <v/>
      </c>
      <c r="P311" s="5" t="str">
        <f>"60,00"</f>
        <v>60,00</v>
      </c>
      <c r="Q311" s="5" t="str">
        <f>"2019"</f>
        <v>2019</v>
      </c>
      <c r="R311" s="5" t="str">
        <f t="shared" si="520"/>
        <v>нет</v>
      </c>
      <c r="S311" s="5" t="str">
        <f>""</f>
        <v/>
      </c>
      <c r="T311" s="5" t="str">
        <f>""</f>
        <v/>
      </c>
      <c r="U311" s="5" t="str">
        <f>""</f>
        <v/>
      </c>
      <c r="V311" s="5" t="str">
        <f t="shared" si="540"/>
        <v>нет</v>
      </c>
      <c r="W311" s="5" t="str">
        <f>""</f>
        <v/>
      </c>
      <c r="X311" s="5" t="str">
        <f>""</f>
        <v/>
      </c>
      <c r="Y311" s="9" t="str">
        <f>""</f>
        <v/>
      </c>
      <c r="Z311" s="5" t="str">
        <f>"х"</f>
        <v>х</v>
      </c>
      <c r="AA311" s="5" t="str">
        <f>"30,00"</f>
        <v>30,00</v>
      </c>
      <c r="AB311" s="5" t="str">
        <f>"2019"</f>
        <v>2019</v>
      </c>
      <c r="AC311" s="5" t="str">
        <f t="shared" si="523"/>
        <v>нет</v>
      </c>
      <c r="AD311" s="5" t="str">
        <f t="shared" ref="AD311:AF316" si="545">"х"</f>
        <v>х</v>
      </c>
      <c r="AE311" s="5" t="str">
        <f t="shared" si="545"/>
        <v>х</v>
      </c>
      <c r="AF311" s="5" t="str">
        <f t="shared" si="545"/>
        <v>х</v>
      </c>
      <c r="AG311" s="5" t="str">
        <f t="shared" si="524"/>
        <v>нет</v>
      </c>
      <c r="AH311" s="5" t="str">
        <f t="shared" ref="AH311:AJ316" si="546">"х"</f>
        <v>х</v>
      </c>
      <c r="AI311" s="5" t="str">
        <f t="shared" si="546"/>
        <v>х</v>
      </c>
      <c r="AJ311" s="5" t="str">
        <f t="shared" si="546"/>
        <v>х</v>
      </c>
      <c r="AK311" s="8" t="str">
        <f>""</f>
        <v/>
      </c>
      <c r="AL311" s="5" t="str">
        <f>"60,00"</f>
        <v>60,00</v>
      </c>
      <c r="AM311" s="5" t="str">
        <f>"2019"</f>
        <v>2019</v>
      </c>
      <c r="AN311" s="5" t="str">
        <f t="shared" si="537"/>
        <v>нет</v>
      </c>
      <c r="AO311" s="5" t="str">
        <f>""</f>
        <v/>
      </c>
      <c r="AP311" s="5" t="str">
        <f>""</f>
        <v/>
      </c>
      <c r="AQ311" s="5" t="str">
        <f>""</f>
        <v/>
      </c>
      <c r="AR311" s="5" t="str">
        <f>"нет"</f>
        <v>нет</v>
      </c>
      <c r="AS311" s="5" t="str">
        <f>""</f>
        <v/>
      </c>
      <c r="AT311" s="5" t="str">
        <f>""</f>
        <v/>
      </c>
      <c r="AU311" s="5" t="str">
        <f>""</f>
        <v/>
      </c>
      <c r="AV311" s="5" t="str">
        <f>""</f>
        <v/>
      </c>
      <c r="AW311" s="5" t="str">
        <f>"60,00"</f>
        <v>60,00</v>
      </c>
      <c r="AX311" s="5" t="str">
        <f>"2019"</f>
        <v>2019</v>
      </c>
      <c r="AY311" s="5" t="str">
        <f t="shared" si="527"/>
        <v>нет</v>
      </c>
      <c r="AZ311" s="5" t="str">
        <f>""</f>
        <v/>
      </c>
      <c r="BA311" s="5" t="str">
        <f>""</f>
        <v/>
      </c>
      <c r="BB311" s="5" t="str">
        <f>""</f>
        <v/>
      </c>
      <c r="BC311" s="5" t="str">
        <f t="shared" si="539"/>
        <v>нет</v>
      </c>
      <c r="BD311" s="5" t="str">
        <f>""</f>
        <v/>
      </c>
      <c r="BE311" s="5" t="str">
        <f>""</f>
        <v/>
      </c>
      <c r="BF311" s="5" t="str">
        <f>""</f>
        <v/>
      </c>
      <c r="BG311" s="5" t="str">
        <f>""</f>
        <v/>
      </c>
      <c r="BH311" s="5" t="str">
        <f>"60,00"</f>
        <v>60,00</v>
      </c>
      <c r="BI311" s="5" t="str">
        <f>"2019"</f>
        <v>2019</v>
      </c>
      <c r="BJ311" s="5" t="str">
        <f t="shared" si="515"/>
        <v>нет</v>
      </c>
      <c r="BK311" s="5" t="str">
        <f>""</f>
        <v/>
      </c>
      <c r="BL311" s="5" t="str">
        <f>""</f>
        <v/>
      </c>
      <c r="BM311" s="5" t="str">
        <f>""</f>
        <v/>
      </c>
      <c r="BN311" s="5" t="str">
        <f t="shared" si="516"/>
        <v>нет</v>
      </c>
      <c r="BO311" s="5" t="str">
        <f>""</f>
        <v/>
      </c>
      <c r="BP311" s="5" t="str">
        <f>""</f>
        <v/>
      </c>
      <c r="BQ311" s="5" t="str">
        <f>""</f>
        <v/>
      </c>
      <c r="BR311" s="5" t="str">
        <f>""</f>
        <v/>
      </c>
      <c r="BS311" s="5" t="str">
        <f>"70,00"</f>
        <v>70,00</v>
      </c>
      <c r="BT311" s="5" t="str">
        <f>"2019"</f>
        <v>2019</v>
      </c>
      <c r="BU311" s="5" t="str">
        <f t="shared" si="518"/>
        <v>нет</v>
      </c>
      <c r="BV311" s="5" t="str">
        <f t="shared" si="519"/>
        <v>x</v>
      </c>
      <c r="BW311" s="5" t="str">
        <f t="shared" si="519"/>
        <v>x</v>
      </c>
      <c r="BX311" s="5" t="str">
        <f t="shared" si="519"/>
        <v>x</v>
      </c>
      <c r="BY311" s="5" t="str">
        <f t="shared" si="532"/>
        <v>нет</v>
      </c>
      <c r="BZ311" s="5" t="str">
        <f t="shared" si="536"/>
        <v>x</v>
      </c>
      <c r="CA311" s="5" t="str">
        <f t="shared" ref="CA311:CB318" si="547">"x"</f>
        <v>x</v>
      </c>
      <c r="CB311" s="5" t="str">
        <f t="shared" si="547"/>
        <v>x</v>
      </c>
      <c r="CC311" s="5" t="str">
        <f>""</f>
        <v/>
      </c>
      <c r="CD311" s="5" t="str">
        <f>"60,00"</f>
        <v>60,00</v>
      </c>
      <c r="CE311" s="5" t="str">
        <f>"2019"</f>
        <v>2019</v>
      </c>
      <c r="CF311" s="5" t="str">
        <f>""</f>
        <v/>
      </c>
      <c r="CG311" s="5" t="str">
        <f>"50,00"</f>
        <v>50,00</v>
      </c>
      <c r="CH311" s="5" t="str">
        <f>"2019"</f>
        <v>2019</v>
      </c>
      <c r="CI311" s="5" t="str">
        <f>"57,00"</f>
        <v>57,00</v>
      </c>
      <c r="CJ311" s="5" t="str">
        <f>"2020"</f>
        <v>2020</v>
      </c>
    </row>
    <row r="312" spans="1:88" ht="11.25" customHeight="1">
      <c r="A312" s="3" t="str">
        <f>"1.299"</f>
        <v>1.299</v>
      </c>
      <c r="B312" s="4" t="str">
        <f>"г. Грязовец, ул. Чернышевского, д.2А"</f>
        <v>г. Грязовец, ул. Чернышевского, д.2А</v>
      </c>
      <c r="C312" s="7" t="str">
        <f>"1977"</f>
        <v>1977</v>
      </c>
      <c r="D312" s="5" t="str">
        <f>""</f>
        <v/>
      </c>
      <c r="E312" s="5" t="str">
        <f>"50,00"</f>
        <v>50,00</v>
      </c>
      <c r="F312" s="5" t="str">
        <f>"2020"</f>
        <v>2020</v>
      </c>
      <c r="G312" s="5" t="str">
        <f>"нет"</f>
        <v>нет</v>
      </c>
      <c r="H312" s="5" t="str">
        <f>""</f>
        <v/>
      </c>
      <c r="I312" s="5" t="str">
        <f>""</f>
        <v/>
      </c>
      <c r="J312" s="5" t="str">
        <f>""</f>
        <v/>
      </c>
      <c r="K312" s="5" t="str">
        <f t="shared" si="543"/>
        <v>нет</v>
      </c>
      <c r="L312" s="5" t="str">
        <f>""</f>
        <v/>
      </c>
      <c r="M312" s="5" t="str">
        <f>""</f>
        <v/>
      </c>
      <c r="N312" s="5" t="str">
        <f>""</f>
        <v/>
      </c>
      <c r="O312" s="8" t="str">
        <f>""</f>
        <v/>
      </c>
      <c r="P312" s="5" t="str">
        <f>"40,00"</f>
        <v>40,00</v>
      </c>
      <c r="Q312" s="5" t="str">
        <f>"2019"</f>
        <v>2019</v>
      </c>
      <c r="R312" s="5" t="str">
        <f t="shared" si="520"/>
        <v>нет</v>
      </c>
      <c r="S312" s="5" t="str">
        <f>""</f>
        <v/>
      </c>
      <c r="T312" s="5" t="str">
        <f>""</f>
        <v/>
      </c>
      <c r="U312" s="5" t="str">
        <f>""</f>
        <v/>
      </c>
      <c r="V312" s="5" t="str">
        <f t="shared" si="540"/>
        <v>нет</v>
      </c>
      <c r="W312" s="5" t="str">
        <f>""</f>
        <v/>
      </c>
      <c r="X312" s="5" t="str">
        <f>""</f>
        <v/>
      </c>
      <c r="Y312" s="9" t="str">
        <f>""</f>
        <v/>
      </c>
      <c r="Z312" s="5" t="str">
        <f>"х"</f>
        <v>х</v>
      </c>
      <c r="AA312" s="5" t="str">
        <f>"30,00"</f>
        <v>30,00</v>
      </c>
      <c r="AB312" s="5" t="str">
        <f>"2019"</f>
        <v>2019</v>
      </c>
      <c r="AC312" s="5" t="str">
        <f t="shared" si="523"/>
        <v>нет</v>
      </c>
      <c r="AD312" s="5" t="str">
        <f t="shared" si="545"/>
        <v>х</v>
      </c>
      <c r="AE312" s="5" t="str">
        <f t="shared" si="545"/>
        <v>х</v>
      </c>
      <c r="AF312" s="5" t="str">
        <f t="shared" si="545"/>
        <v>х</v>
      </c>
      <c r="AG312" s="5" t="str">
        <f t="shared" si="524"/>
        <v>нет</v>
      </c>
      <c r="AH312" s="5" t="str">
        <f t="shared" si="546"/>
        <v>х</v>
      </c>
      <c r="AI312" s="5" t="str">
        <f t="shared" si="546"/>
        <v>х</v>
      </c>
      <c r="AJ312" s="5" t="str">
        <f t="shared" si="546"/>
        <v>х</v>
      </c>
      <c r="AK312" s="8" t="str">
        <f>"х"</f>
        <v>х</v>
      </c>
      <c r="AL312" s="5" t="str">
        <f>"60,00"</f>
        <v>60,00</v>
      </c>
      <c r="AM312" s="5" t="str">
        <f>"2019"</f>
        <v>2019</v>
      </c>
      <c r="AN312" s="5" t="str">
        <f t="shared" si="537"/>
        <v>нет</v>
      </c>
      <c r="AO312" s="5" t="str">
        <f t="shared" ref="AO312:AQ316" si="548">"х"</f>
        <v>х</v>
      </c>
      <c r="AP312" s="5" t="str">
        <f t="shared" si="548"/>
        <v>х</v>
      </c>
      <c r="AQ312" s="5" t="str">
        <f t="shared" si="548"/>
        <v>х</v>
      </c>
      <c r="AR312" s="5" t="str">
        <f>"нет"</f>
        <v>нет</v>
      </c>
      <c r="AS312" s="5" t="str">
        <f t="shared" ref="AS312:AX314" si="549">"х"</f>
        <v>х</v>
      </c>
      <c r="AT312" s="5" t="str">
        <f t="shared" si="549"/>
        <v>х</v>
      </c>
      <c r="AU312" s="5" t="str">
        <f t="shared" si="549"/>
        <v>х</v>
      </c>
      <c r="AV312" s="5" t="str">
        <f t="shared" si="549"/>
        <v>х</v>
      </c>
      <c r="AW312" s="5" t="str">
        <f t="shared" si="549"/>
        <v>х</v>
      </c>
      <c r="AX312" s="5" t="str">
        <f t="shared" si="549"/>
        <v>х</v>
      </c>
      <c r="AY312" s="5" t="str">
        <f t="shared" si="527"/>
        <v>нет</v>
      </c>
      <c r="AZ312" s="5" t="str">
        <f t="shared" ref="AZ312:BB316" si="550">"х"</f>
        <v>х</v>
      </c>
      <c r="BA312" s="5" t="str">
        <f t="shared" si="550"/>
        <v>х</v>
      </c>
      <c r="BB312" s="5" t="str">
        <f t="shared" si="550"/>
        <v>х</v>
      </c>
      <c r="BC312" s="5" t="str">
        <f t="shared" si="539"/>
        <v>нет</v>
      </c>
      <c r="BD312" s="5" t="str">
        <f t="shared" ref="BD312:BG314" si="551">"х"</f>
        <v>х</v>
      </c>
      <c r="BE312" s="5" t="str">
        <f t="shared" si="551"/>
        <v>х</v>
      </c>
      <c r="BF312" s="5" t="str">
        <f t="shared" si="551"/>
        <v>х</v>
      </c>
      <c r="BG312" s="5" t="str">
        <f t="shared" si="551"/>
        <v>х</v>
      </c>
      <c r="BH312" s="5" t="str">
        <f>"60,00"</f>
        <v>60,00</v>
      </c>
      <c r="BI312" s="5" t="str">
        <f>"2020"</f>
        <v>2020</v>
      </c>
      <c r="BJ312" s="5" t="str">
        <f t="shared" si="515"/>
        <v>нет</v>
      </c>
      <c r="BK312" s="5" t="str">
        <f t="shared" ref="BK312:BM316" si="552">"х"</f>
        <v>х</v>
      </c>
      <c r="BL312" s="5" t="str">
        <f t="shared" si="552"/>
        <v>х</v>
      </c>
      <c r="BM312" s="5" t="str">
        <f t="shared" si="552"/>
        <v>х</v>
      </c>
      <c r="BN312" s="5" t="str">
        <f t="shared" si="516"/>
        <v>нет</v>
      </c>
      <c r="BO312" s="5" t="str">
        <f t="shared" ref="BO312:BQ316" si="553">"х"</f>
        <v>х</v>
      </c>
      <c r="BP312" s="5" t="str">
        <f t="shared" si="553"/>
        <v>х</v>
      </c>
      <c r="BQ312" s="5" t="str">
        <f t="shared" si="553"/>
        <v>х</v>
      </c>
      <c r="BR312" s="5" t="str">
        <f>""</f>
        <v/>
      </c>
      <c r="BS312" s="5" t="str">
        <f>"65,00"</f>
        <v>65,00</v>
      </c>
      <c r="BT312" s="5" t="str">
        <f>"2020"</f>
        <v>2020</v>
      </c>
      <c r="BU312" s="5" t="str">
        <f t="shared" si="518"/>
        <v>нет</v>
      </c>
      <c r="BV312" s="5" t="str">
        <f t="shared" si="519"/>
        <v>x</v>
      </c>
      <c r="BW312" s="5" t="str">
        <f t="shared" si="519"/>
        <v>x</v>
      </c>
      <c r="BX312" s="5" t="str">
        <f t="shared" si="519"/>
        <v>x</v>
      </c>
      <c r="BY312" s="5" t="str">
        <f t="shared" si="532"/>
        <v>нет</v>
      </c>
      <c r="BZ312" s="5" t="str">
        <f t="shared" si="536"/>
        <v>x</v>
      </c>
      <c r="CA312" s="5" t="str">
        <f t="shared" si="547"/>
        <v>x</v>
      </c>
      <c r="CB312" s="5" t="str">
        <f t="shared" si="547"/>
        <v>x</v>
      </c>
      <c r="CC312" s="5" t="str">
        <f>""</f>
        <v/>
      </c>
      <c r="CD312" s="5" t="str">
        <f>"50,00"</f>
        <v>50,00</v>
      </c>
      <c r="CE312" s="5" t="str">
        <f>"2020"</f>
        <v>2020</v>
      </c>
      <c r="CF312" s="5" t="str">
        <f>""</f>
        <v/>
      </c>
      <c r="CG312" s="5" t="str">
        <f>"40,00"</f>
        <v>40,00</v>
      </c>
      <c r="CH312" s="5" t="str">
        <f>"2020"</f>
        <v>2020</v>
      </c>
      <c r="CI312" s="5" t="str">
        <f>"50,00"</f>
        <v>50,00</v>
      </c>
      <c r="CJ312" s="5" t="str">
        <f>"2020"</f>
        <v>2020</v>
      </c>
    </row>
    <row r="313" spans="1:88" ht="11.25" customHeight="1">
      <c r="A313" s="3" t="str">
        <f>"1.300"</f>
        <v>1.300</v>
      </c>
      <c r="B313" s="4" t="str">
        <f>"г. Грязовец, ул. Чернышевского, д.2Б"</f>
        <v>г. Грязовец, ул. Чернышевского, д.2Б</v>
      </c>
      <c r="C313" s="7" t="str">
        <f>"1977"</f>
        <v>1977</v>
      </c>
      <c r="D313" s="5" t="str">
        <f>""</f>
        <v/>
      </c>
      <c r="E313" s="5" t="str">
        <f>"40,00"</f>
        <v>40,00</v>
      </c>
      <c r="F313" s="5" t="str">
        <f>"2020"</f>
        <v>2020</v>
      </c>
      <c r="G313" s="5" t="str">
        <f>"нет"</f>
        <v>нет</v>
      </c>
      <c r="H313" s="5" t="str">
        <f>""</f>
        <v/>
      </c>
      <c r="I313" s="5" t="str">
        <f>""</f>
        <v/>
      </c>
      <c r="J313" s="5" t="str">
        <f>""</f>
        <v/>
      </c>
      <c r="K313" s="5" t="str">
        <f t="shared" si="543"/>
        <v>нет</v>
      </c>
      <c r="L313" s="5" t="str">
        <f>""</f>
        <v/>
      </c>
      <c r="M313" s="5" t="str">
        <f>""</f>
        <v/>
      </c>
      <c r="N313" s="5" t="str">
        <f>""</f>
        <v/>
      </c>
      <c r="O313" s="8" t="str">
        <f>""</f>
        <v/>
      </c>
      <c r="P313" s="5" t="str">
        <f>"50,00"</f>
        <v>50,00</v>
      </c>
      <c r="Q313" s="5" t="str">
        <f>"2019"</f>
        <v>2019</v>
      </c>
      <c r="R313" s="5" t="str">
        <f t="shared" si="520"/>
        <v>нет</v>
      </c>
      <c r="S313" s="5" t="str">
        <f>""</f>
        <v/>
      </c>
      <c r="T313" s="5" t="str">
        <f>""</f>
        <v/>
      </c>
      <c r="U313" s="5" t="str">
        <f>""</f>
        <v/>
      </c>
      <c r="V313" s="5" t="str">
        <f t="shared" si="540"/>
        <v>нет</v>
      </c>
      <c r="W313" s="5" t="str">
        <f>""</f>
        <v/>
      </c>
      <c r="X313" s="5" t="str">
        <f>""</f>
        <v/>
      </c>
      <c r="Y313" s="9" t="str">
        <f>""</f>
        <v/>
      </c>
      <c r="Z313" s="5" t="str">
        <f>"х"</f>
        <v>х</v>
      </c>
      <c r="AA313" s="5" t="str">
        <f>"20,00"</f>
        <v>20,00</v>
      </c>
      <c r="AB313" s="5" t="str">
        <f>"2020"</f>
        <v>2020</v>
      </c>
      <c r="AC313" s="5" t="str">
        <f t="shared" si="523"/>
        <v>нет</v>
      </c>
      <c r="AD313" s="5" t="str">
        <f t="shared" si="545"/>
        <v>х</v>
      </c>
      <c r="AE313" s="5" t="str">
        <f t="shared" si="545"/>
        <v>х</v>
      </c>
      <c r="AF313" s="5" t="str">
        <f t="shared" si="545"/>
        <v>х</v>
      </c>
      <c r="AG313" s="5" t="str">
        <f t="shared" si="524"/>
        <v>нет</v>
      </c>
      <c r="AH313" s="5" t="str">
        <f t="shared" si="546"/>
        <v>х</v>
      </c>
      <c r="AI313" s="5" t="str">
        <f t="shared" si="546"/>
        <v>х</v>
      </c>
      <c r="AJ313" s="5" t="str">
        <f t="shared" si="546"/>
        <v>х</v>
      </c>
      <c r="AK313" s="8" t="str">
        <f>"х"</f>
        <v>х</v>
      </c>
      <c r="AL313" s="5" t="str">
        <f>"50,00"</f>
        <v>50,00</v>
      </c>
      <c r="AM313" s="5" t="str">
        <f>"2019"</f>
        <v>2019</v>
      </c>
      <c r="AN313" s="5" t="str">
        <f t="shared" si="537"/>
        <v>нет</v>
      </c>
      <c r="AO313" s="5" t="str">
        <f t="shared" si="548"/>
        <v>х</v>
      </c>
      <c r="AP313" s="5" t="str">
        <f t="shared" si="548"/>
        <v>х</v>
      </c>
      <c r="AQ313" s="5" t="str">
        <f t="shared" si="548"/>
        <v>х</v>
      </c>
      <c r="AR313" s="5" t="str">
        <f>"нет"</f>
        <v>нет</v>
      </c>
      <c r="AS313" s="5" t="str">
        <f t="shared" si="549"/>
        <v>х</v>
      </c>
      <c r="AT313" s="5" t="str">
        <f t="shared" si="549"/>
        <v>х</v>
      </c>
      <c r="AU313" s="5" t="str">
        <f t="shared" si="549"/>
        <v>х</v>
      </c>
      <c r="AV313" s="5" t="str">
        <f t="shared" si="549"/>
        <v>х</v>
      </c>
      <c r="AW313" s="5" t="str">
        <f t="shared" si="549"/>
        <v>х</v>
      </c>
      <c r="AX313" s="5" t="str">
        <f t="shared" si="549"/>
        <v>х</v>
      </c>
      <c r="AY313" s="5" t="str">
        <f t="shared" si="527"/>
        <v>нет</v>
      </c>
      <c r="AZ313" s="5" t="str">
        <f t="shared" si="550"/>
        <v>х</v>
      </c>
      <c r="BA313" s="5" t="str">
        <f t="shared" si="550"/>
        <v>х</v>
      </c>
      <c r="BB313" s="5" t="str">
        <f t="shared" si="550"/>
        <v>х</v>
      </c>
      <c r="BC313" s="5" t="str">
        <f t="shared" si="539"/>
        <v>нет</v>
      </c>
      <c r="BD313" s="5" t="str">
        <f t="shared" si="551"/>
        <v>х</v>
      </c>
      <c r="BE313" s="5" t="str">
        <f t="shared" si="551"/>
        <v>х</v>
      </c>
      <c r="BF313" s="5" t="str">
        <f t="shared" si="551"/>
        <v>х</v>
      </c>
      <c r="BG313" s="5" t="str">
        <f t="shared" si="551"/>
        <v>х</v>
      </c>
      <c r="BH313" s="5" t="str">
        <f>"40,00"</f>
        <v>40,00</v>
      </c>
      <c r="BI313" s="5" t="str">
        <f>"2019"</f>
        <v>2019</v>
      </c>
      <c r="BJ313" s="5" t="str">
        <f t="shared" si="515"/>
        <v>нет</v>
      </c>
      <c r="BK313" s="5" t="str">
        <f t="shared" si="552"/>
        <v>х</v>
      </c>
      <c r="BL313" s="5" t="str">
        <f t="shared" si="552"/>
        <v>х</v>
      </c>
      <c r="BM313" s="5" t="str">
        <f t="shared" si="552"/>
        <v>х</v>
      </c>
      <c r="BN313" s="5" t="str">
        <f t="shared" si="516"/>
        <v>нет</v>
      </c>
      <c r="BO313" s="5" t="str">
        <f t="shared" si="553"/>
        <v>х</v>
      </c>
      <c r="BP313" s="5" t="str">
        <f t="shared" si="553"/>
        <v>х</v>
      </c>
      <c r="BQ313" s="5" t="str">
        <f t="shared" si="553"/>
        <v>х</v>
      </c>
      <c r="BR313" s="5" t="str">
        <f>""</f>
        <v/>
      </c>
      <c r="BS313" s="5" t="str">
        <f>"60,00"</f>
        <v>60,00</v>
      </c>
      <c r="BT313" s="5" t="str">
        <f>"2020"</f>
        <v>2020</v>
      </c>
      <c r="BU313" s="5" t="str">
        <f t="shared" si="518"/>
        <v>нет</v>
      </c>
      <c r="BV313" s="5" t="str">
        <f t="shared" si="519"/>
        <v>x</v>
      </c>
      <c r="BW313" s="5" t="str">
        <f t="shared" si="519"/>
        <v>x</v>
      </c>
      <c r="BX313" s="5" t="str">
        <f t="shared" si="519"/>
        <v>x</v>
      </c>
      <c r="BY313" s="5" t="str">
        <f t="shared" si="532"/>
        <v>нет</v>
      </c>
      <c r="BZ313" s="5" t="str">
        <f t="shared" si="536"/>
        <v>x</v>
      </c>
      <c r="CA313" s="5" t="str">
        <f t="shared" si="547"/>
        <v>x</v>
      </c>
      <c r="CB313" s="5" t="str">
        <f t="shared" si="547"/>
        <v>x</v>
      </c>
      <c r="CC313" s="5" t="str">
        <f>""</f>
        <v/>
      </c>
      <c r="CD313" s="5" t="str">
        <f>"50,00"</f>
        <v>50,00</v>
      </c>
      <c r="CE313" s="5" t="str">
        <f>"2020"</f>
        <v>2020</v>
      </c>
      <c r="CF313" s="5" t="str">
        <f>""</f>
        <v/>
      </c>
      <c r="CG313" s="5" t="str">
        <f>"50,00"</f>
        <v>50,00</v>
      </c>
      <c r="CH313" s="5" t="str">
        <f>"2020"</f>
        <v>2020</v>
      </c>
      <c r="CI313" s="5" t="str">
        <f>"49,00"</f>
        <v>49,00</v>
      </c>
      <c r="CJ313" s="5" t="str">
        <f>"2020"</f>
        <v>2020</v>
      </c>
    </row>
    <row r="314" spans="1:88" ht="11.25" customHeight="1">
      <c r="A314" s="3" t="str">
        <f>"1.301"</f>
        <v>1.301</v>
      </c>
      <c r="B314" s="4" t="str">
        <f>"г. Грязовец, ул. Чернышевского, д.4"</f>
        <v>г. Грязовец, ул. Чернышевского, д.4</v>
      </c>
      <c r="C314" s="7" t="str">
        <f>"1979"</f>
        <v>1979</v>
      </c>
      <c r="D314" s="5" t="str">
        <f t="shared" ref="D314:Y314" si="554">"х"</f>
        <v>х</v>
      </c>
      <c r="E314" s="5" t="str">
        <f t="shared" si="554"/>
        <v>х</v>
      </c>
      <c r="F314" s="5" t="str">
        <f t="shared" si="554"/>
        <v>х</v>
      </c>
      <c r="G314" s="5" t="str">
        <f t="shared" si="554"/>
        <v>х</v>
      </c>
      <c r="H314" s="5" t="str">
        <f t="shared" si="554"/>
        <v>х</v>
      </c>
      <c r="I314" s="5" t="str">
        <f t="shared" si="554"/>
        <v>х</v>
      </c>
      <c r="J314" s="5" t="str">
        <f t="shared" si="554"/>
        <v>х</v>
      </c>
      <c r="K314" s="5" t="str">
        <f t="shared" si="554"/>
        <v>х</v>
      </c>
      <c r="L314" s="5" t="str">
        <f t="shared" si="554"/>
        <v>х</v>
      </c>
      <c r="M314" s="5" t="str">
        <f t="shared" si="554"/>
        <v>х</v>
      </c>
      <c r="N314" s="5" t="str">
        <f t="shared" si="554"/>
        <v>х</v>
      </c>
      <c r="O314" s="8" t="str">
        <f t="shared" si="554"/>
        <v>х</v>
      </c>
      <c r="P314" s="5" t="str">
        <f t="shared" si="554"/>
        <v>х</v>
      </c>
      <c r="Q314" s="5" t="str">
        <f t="shared" si="554"/>
        <v>х</v>
      </c>
      <c r="R314" s="5" t="str">
        <f t="shared" si="554"/>
        <v>х</v>
      </c>
      <c r="S314" s="5" t="str">
        <f t="shared" si="554"/>
        <v>х</v>
      </c>
      <c r="T314" s="5" t="str">
        <f t="shared" si="554"/>
        <v>х</v>
      </c>
      <c r="U314" s="5" t="str">
        <f t="shared" si="554"/>
        <v>х</v>
      </c>
      <c r="V314" s="5" t="str">
        <f t="shared" si="554"/>
        <v>х</v>
      </c>
      <c r="W314" s="5" t="str">
        <f t="shared" si="554"/>
        <v>х</v>
      </c>
      <c r="X314" s="5" t="str">
        <f t="shared" si="554"/>
        <v>х</v>
      </c>
      <c r="Y314" s="9" t="str">
        <f t="shared" si="554"/>
        <v>х</v>
      </c>
      <c r="Z314" s="5" t="str">
        <f>"х"</f>
        <v>х</v>
      </c>
      <c r="AA314" s="5" t="str">
        <f>"х"</f>
        <v>х</v>
      </c>
      <c r="AB314" s="5" t="str">
        <f>"х"</f>
        <v>х</v>
      </c>
      <c r="AC314" s="5" t="str">
        <f>"х"</f>
        <v>х</v>
      </c>
      <c r="AD314" s="5" t="str">
        <f t="shared" si="545"/>
        <v>х</v>
      </c>
      <c r="AE314" s="5" t="str">
        <f t="shared" si="545"/>
        <v>х</v>
      </c>
      <c r="AF314" s="5" t="str">
        <f t="shared" si="545"/>
        <v>х</v>
      </c>
      <c r="AG314" s="5" t="str">
        <f>"х"</f>
        <v>х</v>
      </c>
      <c r="AH314" s="5" t="str">
        <f t="shared" si="546"/>
        <v>х</v>
      </c>
      <c r="AI314" s="5" t="str">
        <f t="shared" si="546"/>
        <v>х</v>
      </c>
      <c r="AJ314" s="5" t="str">
        <f t="shared" si="546"/>
        <v>х</v>
      </c>
      <c r="AK314" s="8" t="str">
        <f>"х"</f>
        <v>х</v>
      </c>
      <c r="AL314" s="5" t="str">
        <f>"х"</f>
        <v>х</v>
      </c>
      <c r="AM314" s="5" t="str">
        <f>"х"</f>
        <v>х</v>
      </c>
      <c r="AN314" s="5" t="str">
        <f>"х"</f>
        <v>х</v>
      </c>
      <c r="AO314" s="5" t="str">
        <f t="shared" si="548"/>
        <v>х</v>
      </c>
      <c r="AP314" s="5" t="str">
        <f t="shared" si="548"/>
        <v>х</v>
      </c>
      <c r="AQ314" s="5" t="str">
        <f t="shared" si="548"/>
        <v>х</v>
      </c>
      <c r="AR314" s="5" t="str">
        <f>"х"</f>
        <v>х</v>
      </c>
      <c r="AS314" s="5" t="str">
        <f t="shared" si="549"/>
        <v>х</v>
      </c>
      <c r="AT314" s="5" t="str">
        <f t="shared" si="549"/>
        <v>х</v>
      </c>
      <c r="AU314" s="5" t="str">
        <f t="shared" si="549"/>
        <v>х</v>
      </c>
      <c r="AV314" s="5" t="str">
        <f t="shared" si="549"/>
        <v>х</v>
      </c>
      <c r="AW314" s="5" t="str">
        <f t="shared" si="549"/>
        <v>х</v>
      </c>
      <c r="AX314" s="5" t="str">
        <f t="shared" si="549"/>
        <v>х</v>
      </c>
      <c r="AY314" s="5" t="str">
        <f>"х"</f>
        <v>х</v>
      </c>
      <c r="AZ314" s="5" t="str">
        <f t="shared" si="550"/>
        <v>х</v>
      </c>
      <c r="BA314" s="5" t="str">
        <f t="shared" si="550"/>
        <v>х</v>
      </c>
      <c r="BB314" s="5" t="str">
        <f t="shared" si="550"/>
        <v>х</v>
      </c>
      <c r="BC314" s="5" t="str">
        <f>"х"</f>
        <v>х</v>
      </c>
      <c r="BD314" s="5" t="str">
        <f t="shared" si="551"/>
        <v>х</v>
      </c>
      <c r="BE314" s="5" t="str">
        <f t="shared" si="551"/>
        <v>х</v>
      </c>
      <c r="BF314" s="5" t="str">
        <f t="shared" si="551"/>
        <v>х</v>
      </c>
      <c r="BG314" s="5" t="str">
        <f t="shared" si="551"/>
        <v>х</v>
      </c>
      <c r="BH314" s="5" t="str">
        <f>"х"</f>
        <v>х</v>
      </c>
      <c r="BI314" s="5" t="str">
        <f>"х"</f>
        <v>х</v>
      </c>
      <c r="BJ314" s="5" t="str">
        <f>"х"</f>
        <v>х</v>
      </c>
      <c r="BK314" s="5" t="str">
        <f t="shared" si="552"/>
        <v>х</v>
      </c>
      <c r="BL314" s="5" t="str">
        <f t="shared" si="552"/>
        <v>х</v>
      </c>
      <c r="BM314" s="5" t="str">
        <f t="shared" si="552"/>
        <v>х</v>
      </c>
      <c r="BN314" s="5" t="str">
        <f>"х"</f>
        <v>х</v>
      </c>
      <c r="BO314" s="5" t="str">
        <f t="shared" si="553"/>
        <v>х</v>
      </c>
      <c r="BP314" s="5" t="str">
        <f t="shared" si="553"/>
        <v>х</v>
      </c>
      <c r="BQ314" s="5" t="str">
        <f t="shared" si="553"/>
        <v>х</v>
      </c>
      <c r="BR314" s="5" t="str">
        <f>"1979"</f>
        <v>1979</v>
      </c>
      <c r="BS314" s="5" t="str">
        <f>"70,00"</f>
        <v>70,00</v>
      </c>
      <c r="BT314" s="5" t="str">
        <f>"2019"</f>
        <v>2019</v>
      </c>
      <c r="BU314" s="5" t="str">
        <f t="shared" si="518"/>
        <v>нет</v>
      </c>
      <c r="BV314" s="5" t="str">
        <f t="shared" si="519"/>
        <v>x</v>
      </c>
      <c r="BW314" s="5" t="str">
        <f t="shared" si="519"/>
        <v>x</v>
      </c>
      <c r="BX314" s="5" t="str">
        <f t="shared" si="519"/>
        <v>x</v>
      </c>
      <c r="BY314" s="5" t="str">
        <f t="shared" si="532"/>
        <v>нет</v>
      </c>
      <c r="BZ314" s="5" t="str">
        <f t="shared" si="536"/>
        <v>x</v>
      </c>
      <c r="CA314" s="5" t="str">
        <f t="shared" si="547"/>
        <v>x</v>
      </c>
      <c r="CB314" s="5" t="str">
        <f t="shared" si="547"/>
        <v>x</v>
      </c>
      <c r="CC314" s="5" t="str">
        <f>"1979"</f>
        <v>1979</v>
      </c>
      <c r="CD314" s="5" t="str">
        <f>"65,00"</f>
        <v>65,00</v>
      </c>
      <c r="CE314" s="5" t="str">
        <f>"2019"</f>
        <v>2019</v>
      </c>
      <c r="CF314" s="5" t="str">
        <f>"1979"</f>
        <v>1979</v>
      </c>
      <c r="CG314" s="5" t="str">
        <f>"60,00"</f>
        <v>60,00</v>
      </c>
      <c r="CH314" s="5" t="str">
        <f>"2020"</f>
        <v>2020</v>
      </c>
      <c r="CI314" s="5" t="str">
        <f>"70,00"</f>
        <v>70,00</v>
      </c>
      <c r="CJ314" s="5" t="str">
        <f>"2020"</f>
        <v>2020</v>
      </c>
    </row>
    <row r="315" spans="1:88" ht="11.25" customHeight="1">
      <c r="A315" s="3" t="str">
        <f>"1.302"</f>
        <v>1.302</v>
      </c>
      <c r="B315" s="4" t="str">
        <f>"г. Грязовец, ул. Юбилейная, д.11"</f>
        <v>г. Грязовец, ул. Юбилейная, д.11</v>
      </c>
      <c r="C315" s="7" t="str">
        <f>"1984"</f>
        <v>1984</v>
      </c>
      <c r="D315" s="5" t="str">
        <f>"1984"</f>
        <v>1984</v>
      </c>
      <c r="E315" s="5" t="str">
        <f>"19,00"</f>
        <v>19,00</v>
      </c>
      <c r="F315" s="5" t="str">
        <f>"2021"</f>
        <v>2021</v>
      </c>
      <c r="G315" s="5" t="str">
        <f>"нет"</f>
        <v>нет</v>
      </c>
      <c r="H315" s="5" t="str">
        <f>""</f>
        <v/>
      </c>
      <c r="I315" s="5" t="str">
        <f>""</f>
        <v/>
      </c>
      <c r="J315" s="5" t="str">
        <f>""</f>
        <v/>
      </c>
      <c r="K315" s="5" t="str">
        <f t="shared" ref="K315:K323" si="555">"нет"</f>
        <v>нет</v>
      </c>
      <c r="L315" s="5" t="str">
        <f>""</f>
        <v/>
      </c>
      <c r="M315" s="5" t="str">
        <f>""</f>
        <v/>
      </c>
      <c r="N315" s="5" t="str">
        <f>""</f>
        <v/>
      </c>
      <c r="O315" s="8" t="str">
        <f>"1984"</f>
        <v>1984</v>
      </c>
      <c r="P315" s="5" t="str">
        <f>"20,00"</f>
        <v>20,00</v>
      </c>
      <c r="Q315" s="5" t="str">
        <f>"2021"</f>
        <v>2021</v>
      </c>
      <c r="R315" s="5" t="str">
        <f>"нет"</f>
        <v>нет</v>
      </c>
      <c r="S315" s="5" t="str">
        <f t="shared" ref="S315:U316" si="556">"х"</f>
        <v>х</v>
      </c>
      <c r="T315" s="5" t="str">
        <f t="shared" si="556"/>
        <v>х</v>
      </c>
      <c r="U315" s="5" t="str">
        <f t="shared" si="556"/>
        <v>х</v>
      </c>
      <c r="V315" s="5" t="str">
        <f>"нет"</f>
        <v>нет</v>
      </c>
      <c r="W315" s="5" t="str">
        <f t="shared" ref="W315:Y316" si="557">"х"</f>
        <v>х</v>
      </c>
      <c r="X315" s="5" t="str">
        <f t="shared" si="557"/>
        <v>х</v>
      </c>
      <c r="Y315" s="9" t="str">
        <f t="shared" si="557"/>
        <v>х</v>
      </c>
      <c r="Z315" s="5" t="str">
        <f>"1984"</f>
        <v>1984</v>
      </c>
      <c r="AA315" s="5" t="str">
        <f>"15,00"</f>
        <v>15,00</v>
      </c>
      <c r="AB315" s="5" t="str">
        <f>"2020"</f>
        <v>2020</v>
      </c>
      <c r="AC315" s="5" t="str">
        <f>"нет"</f>
        <v>нет</v>
      </c>
      <c r="AD315" s="5" t="str">
        <f t="shared" si="545"/>
        <v>х</v>
      </c>
      <c r="AE315" s="5" t="str">
        <f t="shared" si="545"/>
        <v>х</v>
      </c>
      <c r="AF315" s="5" t="str">
        <f t="shared" si="545"/>
        <v>х</v>
      </c>
      <c r="AG315" s="5" t="str">
        <f>"нет"</f>
        <v>нет</v>
      </c>
      <c r="AH315" s="5" t="str">
        <f t="shared" si="546"/>
        <v>х</v>
      </c>
      <c r="AI315" s="5" t="str">
        <f t="shared" si="546"/>
        <v>х</v>
      </c>
      <c r="AJ315" s="5" t="str">
        <f t="shared" si="546"/>
        <v>х</v>
      </c>
      <c r="AK315" s="8" t="str">
        <f>"1984"</f>
        <v>1984</v>
      </c>
      <c r="AL315" s="5" t="str">
        <f>"19,00"</f>
        <v>19,00</v>
      </c>
      <c r="AM315" s="5" t="str">
        <f>"2022"</f>
        <v>2022</v>
      </c>
      <c r="AN315" s="5" t="str">
        <f>"нет"</f>
        <v>нет</v>
      </c>
      <c r="AO315" s="5" t="str">
        <f t="shared" si="548"/>
        <v>х</v>
      </c>
      <c r="AP315" s="5" t="str">
        <f t="shared" si="548"/>
        <v>х</v>
      </c>
      <c r="AQ315" s="5" t="str">
        <f t="shared" si="548"/>
        <v>х</v>
      </c>
      <c r="AR315" s="5" t="str">
        <f>"нет"</f>
        <v>нет</v>
      </c>
      <c r="AS315" s="5" t="str">
        <f t="shared" ref="AS315:AU316" si="558">"х"</f>
        <v>х</v>
      </c>
      <c r="AT315" s="5" t="str">
        <f t="shared" si="558"/>
        <v>х</v>
      </c>
      <c r="AU315" s="5" t="str">
        <f t="shared" si="558"/>
        <v>х</v>
      </c>
      <c r="AV315" s="5" t="str">
        <f>"1984"</f>
        <v>1984</v>
      </c>
      <c r="AW315" s="5" t="str">
        <f>"18,00"</f>
        <v>18,00</v>
      </c>
      <c r="AX315" s="5" t="str">
        <f>"2022"</f>
        <v>2022</v>
      </c>
      <c r="AY315" s="5" t="str">
        <f>"нет"</f>
        <v>нет</v>
      </c>
      <c r="AZ315" s="5" t="str">
        <f t="shared" si="550"/>
        <v>х</v>
      </c>
      <c r="BA315" s="5" t="str">
        <f t="shared" si="550"/>
        <v>х</v>
      </c>
      <c r="BB315" s="5" t="str">
        <f t="shared" si="550"/>
        <v>х</v>
      </c>
      <c r="BC315" s="5" t="str">
        <f>"нет"</f>
        <v>нет</v>
      </c>
      <c r="BD315" s="5" t="str">
        <f t="shared" ref="BD315:BF316" si="559">"х"</f>
        <v>х</v>
      </c>
      <c r="BE315" s="5" t="str">
        <f t="shared" si="559"/>
        <v>х</v>
      </c>
      <c r="BF315" s="5" t="str">
        <f t="shared" si="559"/>
        <v>х</v>
      </c>
      <c r="BG315" s="5" t="str">
        <f>"1984"</f>
        <v>1984</v>
      </c>
      <c r="BH315" s="5" t="str">
        <f>"19,00"</f>
        <v>19,00</v>
      </c>
      <c r="BI315" s="5" t="str">
        <f>"2022"</f>
        <v>2022</v>
      </c>
      <c r="BJ315" s="5" t="str">
        <f>"нет"</f>
        <v>нет</v>
      </c>
      <c r="BK315" s="5" t="str">
        <f t="shared" si="552"/>
        <v>х</v>
      </c>
      <c r="BL315" s="5" t="str">
        <f t="shared" si="552"/>
        <v>х</v>
      </c>
      <c r="BM315" s="5" t="str">
        <f t="shared" si="552"/>
        <v>х</v>
      </c>
      <c r="BN315" s="5" t="str">
        <f>"нет"</f>
        <v>нет</v>
      </c>
      <c r="BO315" s="5" t="str">
        <f t="shared" si="553"/>
        <v>х</v>
      </c>
      <c r="BP315" s="5" t="str">
        <f t="shared" si="553"/>
        <v>х</v>
      </c>
      <c r="BQ315" s="5" t="str">
        <f t="shared" si="553"/>
        <v>х</v>
      </c>
      <c r="BR315" s="5" t="str">
        <f>"1984"</f>
        <v>1984</v>
      </c>
      <c r="BS315" s="5" t="str">
        <f>"23,00"</f>
        <v>23,00</v>
      </c>
      <c r="BT315" s="5" t="str">
        <f>"2021"</f>
        <v>2021</v>
      </c>
      <c r="BU315" s="5" t="str">
        <f t="shared" si="518"/>
        <v>нет</v>
      </c>
      <c r="BV315" s="5" t="str">
        <f t="shared" si="519"/>
        <v>x</v>
      </c>
      <c r="BW315" s="5" t="str">
        <f t="shared" si="519"/>
        <v>x</v>
      </c>
      <c r="BX315" s="5" t="str">
        <f t="shared" si="519"/>
        <v>x</v>
      </c>
      <c r="BY315" s="5" t="str">
        <f t="shared" si="532"/>
        <v>нет</v>
      </c>
      <c r="BZ315" s="5" t="str">
        <f t="shared" si="536"/>
        <v>x</v>
      </c>
      <c r="CA315" s="5" t="str">
        <f t="shared" si="547"/>
        <v>x</v>
      </c>
      <c r="CB315" s="5" t="str">
        <f t="shared" si="547"/>
        <v>x</v>
      </c>
      <c r="CC315" s="5" t="str">
        <f>"1984"</f>
        <v>1984</v>
      </c>
      <c r="CD315" s="5" t="str">
        <f>"22,00"</f>
        <v>22,00</v>
      </c>
      <c r="CE315" s="5" t="str">
        <f>"2019"</f>
        <v>2019</v>
      </c>
      <c r="CF315" s="5" t="str">
        <f>"1984"</f>
        <v>1984</v>
      </c>
      <c r="CG315" s="5" t="str">
        <f>"23,00"</f>
        <v>23,00</v>
      </c>
      <c r="CH315" s="5" t="str">
        <f>"2019"</f>
        <v>2019</v>
      </c>
      <c r="CI315" s="5" t="str">
        <f>"16,00"</f>
        <v>16,00</v>
      </c>
      <c r="CJ315" s="5" t="str">
        <f>"2022"</f>
        <v>2022</v>
      </c>
    </row>
    <row r="316" spans="1:88" ht="11.25" customHeight="1">
      <c r="A316" s="3" t="str">
        <f>"1.303"</f>
        <v>1.303</v>
      </c>
      <c r="B316" s="4" t="str">
        <f>"г. Грязовец, ул. Юбилейная, д.14"</f>
        <v>г. Грязовец, ул. Юбилейная, д.14</v>
      </c>
      <c r="C316" s="7" t="str">
        <f>"1983"</f>
        <v>1983</v>
      </c>
      <c r="D316" s="5" t="str">
        <f>"1983"</f>
        <v>1983</v>
      </c>
      <c r="E316" s="5" t="str">
        <f>"20,00"</f>
        <v>20,00</v>
      </c>
      <c r="F316" s="5" t="str">
        <f>"2022"</f>
        <v>2022</v>
      </c>
      <c r="G316" s="5" t="str">
        <f>"да"</f>
        <v>да</v>
      </c>
      <c r="H316" s="5" t="str">
        <f>""</f>
        <v/>
      </c>
      <c r="I316" s="5" t="str">
        <f>"22,00"</f>
        <v>22,00</v>
      </c>
      <c r="J316" s="5" t="str">
        <f>"2019"</f>
        <v>2019</v>
      </c>
      <c r="K316" s="5" t="str">
        <f t="shared" si="555"/>
        <v>нет</v>
      </c>
      <c r="L316" s="5" t="str">
        <f>""</f>
        <v/>
      </c>
      <c r="M316" s="5" t="str">
        <f>""</f>
        <v/>
      </c>
      <c r="N316" s="5" t="str">
        <f>""</f>
        <v/>
      </c>
      <c r="O316" s="8" t="str">
        <f>"1983"</f>
        <v>1983</v>
      </c>
      <c r="P316" s="5" t="str">
        <f>"23,00"</f>
        <v>23,00</v>
      </c>
      <c r="Q316" s="5" t="str">
        <f>"2019"</f>
        <v>2019</v>
      </c>
      <c r="R316" s="5" t="str">
        <f>"нет"</f>
        <v>нет</v>
      </c>
      <c r="S316" s="5" t="str">
        <f t="shared" si="556"/>
        <v>х</v>
      </c>
      <c r="T316" s="5" t="str">
        <f t="shared" si="556"/>
        <v>х</v>
      </c>
      <c r="U316" s="5" t="str">
        <f t="shared" si="556"/>
        <v>х</v>
      </c>
      <c r="V316" s="5" t="str">
        <f>"нет"</f>
        <v>нет</v>
      </c>
      <c r="W316" s="5" t="str">
        <f t="shared" si="557"/>
        <v>х</v>
      </c>
      <c r="X316" s="5" t="str">
        <f t="shared" si="557"/>
        <v>х</v>
      </c>
      <c r="Y316" s="9" t="str">
        <f t="shared" si="557"/>
        <v>х</v>
      </c>
      <c r="Z316" s="5" t="str">
        <f>"1983"</f>
        <v>1983</v>
      </c>
      <c r="AA316" s="5" t="str">
        <f>"19,00"</f>
        <v>19,00</v>
      </c>
      <c r="AB316" s="5" t="str">
        <f>"2019"</f>
        <v>2019</v>
      </c>
      <c r="AC316" s="5" t="str">
        <f>"нет"</f>
        <v>нет</v>
      </c>
      <c r="AD316" s="5" t="str">
        <f t="shared" si="545"/>
        <v>х</v>
      </c>
      <c r="AE316" s="5" t="str">
        <f t="shared" si="545"/>
        <v>х</v>
      </c>
      <c r="AF316" s="5" t="str">
        <f t="shared" si="545"/>
        <v>х</v>
      </c>
      <c r="AG316" s="5" t="str">
        <f>"нет"</f>
        <v>нет</v>
      </c>
      <c r="AH316" s="5" t="str">
        <f t="shared" si="546"/>
        <v>х</v>
      </c>
      <c r="AI316" s="5" t="str">
        <f t="shared" si="546"/>
        <v>х</v>
      </c>
      <c r="AJ316" s="5" t="str">
        <f t="shared" si="546"/>
        <v>х</v>
      </c>
      <c r="AK316" s="8" t="str">
        <f>"1983"</f>
        <v>1983</v>
      </c>
      <c r="AL316" s="5" t="str">
        <f>"20,00"</f>
        <v>20,00</v>
      </c>
      <c r="AM316" s="5" t="str">
        <f>"2020"</f>
        <v>2020</v>
      </c>
      <c r="AN316" s="5" t="str">
        <f>"нет"</f>
        <v>нет</v>
      </c>
      <c r="AO316" s="5" t="str">
        <f t="shared" si="548"/>
        <v>х</v>
      </c>
      <c r="AP316" s="5" t="str">
        <f t="shared" si="548"/>
        <v>х</v>
      </c>
      <c r="AQ316" s="5" t="str">
        <f t="shared" si="548"/>
        <v>х</v>
      </c>
      <c r="AR316" s="5" t="str">
        <f>"нет"</f>
        <v>нет</v>
      </c>
      <c r="AS316" s="5" t="str">
        <f t="shared" si="558"/>
        <v>х</v>
      </c>
      <c r="AT316" s="5" t="str">
        <f t="shared" si="558"/>
        <v>х</v>
      </c>
      <c r="AU316" s="5" t="str">
        <f t="shared" si="558"/>
        <v>х</v>
      </c>
      <c r="AV316" s="5" t="str">
        <f>"1983"</f>
        <v>1983</v>
      </c>
      <c r="AW316" s="5" t="str">
        <f>"20,00"</f>
        <v>20,00</v>
      </c>
      <c r="AX316" s="5" t="str">
        <f>"2020"</f>
        <v>2020</v>
      </c>
      <c r="AY316" s="5" t="str">
        <f>"нет"</f>
        <v>нет</v>
      </c>
      <c r="AZ316" s="5" t="str">
        <f t="shared" si="550"/>
        <v>х</v>
      </c>
      <c r="BA316" s="5" t="str">
        <f t="shared" si="550"/>
        <v>х</v>
      </c>
      <c r="BB316" s="5" t="str">
        <f t="shared" si="550"/>
        <v>х</v>
      </c>
      <c r="BC316" s="5" t="str">
        <f>"нет"</f>
        <v>нет</v>
      </c>
      <c r="BD316" s="5" t="str">
        <f t="shared" si="559"/>
        <v>х</v>
      </c>
      <c r="BE316" s="5" t="str">
        <f t="shared" si="559"/>
        <v>х</v>
      </c>
      <c r="BF316" s="5" t="str">
        <f t="shared" si="559"/>
        <v>х</v>
      </c>
      <c r="BG316" s="5" t="str">
        <f>"1983"</f>
        <v>1983</v>
      </c>
      <c r="BH316" s="5" t="str">
        <f>"21,00"</f>
        <v>21,00</v>
      </c>
      <c r="BI316" s="5" t="str">
        <f>"2020"</f>
        <v>2020</v>
      </c>
      <c r="BJ316" s="5" t="str">
        <f>"нет"</f>
        <v>нет</v>
      </c>
      <c r="BK316" s="5" t="str">
        <f t="shared" si="552"/>
        <v>х</v>
      </c>
      <c r="BL316" s="5" t="str">
        <f t="shared" si="552"/>
        <v>х</v>
      </c>
      <c r="BM316" s="5" t="str">
        <f t="shared" si="552"/>
        <v>х</v>
      </c>
      <c r="BN316" s="5" t="str">
        <f>"нет"</f>
        <v>нет</v>
      </c>
      <c r="BO316" s="5" t="str">
        <f t="shared" si="553"/>
        <v>х</v>
      </c>
      <c r="BP316" s="5" t="str">
        <f t="shared" si="553"/>
        <v>х</v>
      </c>
      <c r="BQ316" s="5" t="str">
        <f t="shared" si="553"/>
        <v>х</v>
      </c>
      <c r="BR316" s="5" t="str">
        <f>"1983"</f>
        <v>1983</v>
      </c>
      <c r="BS316" s="5" t="str">
        <f>"25,00"</f>
        <v>25,00</v>
      </c>
      <c r="BT316" s="5" t="str">
        <f>"2020"</f>
        <v>2020</v>
      </c>
      <c r="BU316" s="5" t="str">
        <f t="shared" si="518"/>
        <v>нет</v>
      </c>
      <c r="BV316" s="5" t="str">
        <f t="shared" si="519"/>
        <v>x</v>
      </c>
      <c r="BW316" s="5" t="str">
        <f t="shared" si="519"/>
        <v>x</v>
      </c>
      <c r="BX316" s="5" t="str">
        <f t="shared" si="519"/>
        <v>x</v>
      </c>
      <c r="BY316" s="5" t="str">
        <f t="shared" si="532"/>
        <v>нет</v>
      </c>
      <c r="BZ316" s="5" t="str">
        <f t="shared" si="536"/>
        <v>x</v>
      </c>
      <c r="CA316" s="5" t="str">
        <f t="shared" si="547"/>
        <v>x</v>
      </c>
      <c r="CB316" s="5" t="str">
        <f t="shared" si="547"/>
        <v>x</v>
      </c>
      <c r="CC316" s="5" t="str">
        <f>"1983"</f>
        <v>1983</v>
      </c>
      <c r="CD316" s="5" t="str">
        <f>"23,00"</f>
        <v>23,00</v>
      </c>
      <c r="CE316" s="5" t="str">
        <f>"2019"</f>
        <v>2019</v>
      </c>
      <c r="CF316" s="5" t="str">
        <f>"1983"</f>
        <v>1983</v>
      </c>
      <c r="CG316" s="5" t="str">
        <f>"21,00"</f>
        <v>21,00</v>
      </c>
      <c r="CH316" s="5" t="str">
        <f>"2019"</f>
        <v>2019</v>
      </c>
      <c r="CI316" s="5" t="str">
        <f>"17,00"</f>
        <v>17,00</v>
      </c>
      <c r="CJ316" s="5" t="str">
        <f>"2020"</f>
        <v>2020</v>
      </c>
    </row>
    <row r="317" spans="1:88" ht="11.25" customHeight="1">
      <c r="A317" s="3" t="str">
        <f>"1.304"</f>
        <v>1.304</v>
      </c>
      <c r="B317" s="4" t="str">
        <f>"г. Грязовец, ул. Юбилейная, д.3А"</f>
        <v>г. Грязовец, ул. Юбилейная, д.3А</v>
      </c>
      <c r="C317" s="7" t="str">
        <f>"1983"</f>
        <v>1983</v>
      </c>
      <c r="D317" s="5" t="str">
        <f>"1983"</f>
        <v>1983</v>
      </c>
      <c r="E317" s="5" t="str">
        <f>"40,00"</f>
        <v>40,00</v>
      </c>
      <c r="F317" s="5" t="str">
        <f>"2020"</f>
        <v>2020</v>
      </c>
      <c r="G317" s="5" t="str">
        <f t="shared" ref="G317:G323" si="560">"нет"</f>
        <v>нет</v>
      </c>
      <c r="H317" s="5" t="str">
        <f>""</f>
        <v/>
      </c>
      <c r="I317" s="5" t="str">
        <f>""</f>
        <v/>
      </c>
      <c r="J317" s="5" t="str">
        <f>""</f>
        <v/>
      </c>
      <c r="K317" s="5" t="str">
        <f t="shared" si="555"/>
        <v>нет</v>
      </c>
      <c r="L317" s="5" t="str">
        <f>""</f>
        <v/>
      </c>
      <c r="M317" s="5" t="str">
        <f>""</f>
        <v/>
      </c>
      <c r="N317" s="5" t="str">
        <f>""</f>
        <v/>
      </c>
      <c r="O317" s="8" t="str">
        <f>"1983"</f>
        <v>1983</v>
      </c>
      <c r="P317" s="5" t="str">
        <f>"42,00"</f>
        <v>42,00</v>
      </c>
      <c r="Q317" s="5" t="str">
        <f>"2023"</f>
        <v>2023</v>
      </c>
      <c r="R317" s="5" t="str">
        <f>"нет"</f>
        <v>нет</v>
      </c>
      <c r="S317" s="5" t="str">
        <f>""</f>
        <v/>
      </c>
      <c r="T317" s="5" t="str">
        <f>""</f>
        <v/>
      </c>
      <c r="U317" s="5" t="str">
        <f>""</f>
        <v/>
      </c>
      <c r="V317" s="5" t="str">
        <f>"нет"</f>
        <v>нет</v>
      </c>
      <c r="W317" s="5" t="str">
        <f>""</f>
        <v/>
      </c>
      <c r="X317" s="5" t="str">
        <f>""</f>
        <v/>
      </c>
      <c r="Y317" s="9" t="str">
        <f>""</f>
        <v/>
      </c>
      <c r="Z317" s="5" t="str">
        <f>"1983"</f>
        <v>1983</v>
      </c>
      <c r="AA317" s="5" t="str">
        <f>"43,00"</f>
        <v>43,00</v>
      </c>
      <c r="AB317" s="5" t="str">
        <f>"2022"</f>
        <v>2022</v>
      </c>
      <c r="AC317" s="5" t="str">
        <f>"нет"</f>
        <v>нет</v>
      </c>
      <c r="AD317" s="5" t="str">
        <f>""</f>
        <v/>
      </c>
      <c r="AE317" s="5" t="str">
        <f>""</f>
        <v/>
      </c>
      <c r="AF317" s="5" t="str">
        <f>""</f>
        <v/>
      </c>
      <c r="AG317" s="5" t="str">
        <f>"нет"</f>
        <v>нет</v>
      </c>
      <c r="AH317" s="5" t="str">
        <f>""</f>
        <v/>
      </c>
      <c r="AI317" s="5" t="str">
        <f>""</f>
        <v/>
      </c>
      <c r="AJ317" s="5" t="str">
        <f>""</f>
        <v/>
      </c>
      <c r="AK317" s="8" t="str">
        <f>"1983"</f>
        <v>1983</v>
      </c>
      <c r="AL317" s="5" t="str">
        <f>"44,00"</f>
        <v>44,00</v>
      </c>
      <c r="AM317" s="5" t="str">
        <f>"2025"</f>
        <v>2025</v>
      </c>
      <c r="AN317" s="5" t="str">
        <f>"нет"</f>
        <v>нет</v>
      </c>
      <c r="AO317" s="5" t="str">
        <f>""</f>
        <v/>
      </c>
      <c r="AP317" s="5" t="str">
        <f>""</f>
        <v/>
      </c>
      <c r="AQ317" s="5" t="str">
        <f>""</f>
        <v/>
      </c>
      <c r="AR317" s="5" t="str">
        <f>"нет"</f>
        <v>нет</v>
      </c>
      <c r="AS317" s="5" t="str">
        <f>""</f>
        <v/>
      </c>
      <c r="AT317" s="5" t="str">
        <f>""</f>
        <v/>
      </c>
      <c r="AU317" s="5" t="str">
        <f>""</f>
        <v/>
      </c>
      <c r="AV317" s="5" t="str">
        <f>"1983"</f>
        <v>1983</v>
      </c>
      <c r="AW317" s="5" t="str">
        <f>"43,00"</f>
        <v>43,00</v>
      </c>
      <c r="AX317" s="5" t="str">
        <f>"2024"</f>
        <v>2024</v>
      </c>
      <c r="AY317" s="5" t="str">
        <f>"нет"</f>
        <v>нет</v>
      </c>
      <c r="AZ317" s="5" t="str">
        <f>""</f>
        <v/>
      </c>
      <c r="BA317" s="5" t="str">
        <f>""</f>
        <v/>
      </c>
      <c r="BB317" s="5" t="str">
        <f>""</f>
        <v/>
      </c>
      <c r="BC317" s="5" t="str">
        <f>"нет"</f>
        <v>нет</v>
      </c>
      <c r="BD317" s="5" t="str">
        <f>""</f>
        <v/>
      </c>
      <c r="BE317" s="5" t="str">
        <f>""</f>
        <v/>
      </c>
      <c r="BF317" s="5" t="str">
        <f>""</f>
        <v/>
      </c>
      <c r="BG317" s="5" t="str">
        <f>"1983"</f>
        <v>1983</v>
      </c>
      <c r="BH317" s="5" t="str">
        <f>"44,00"</f>
        <v>44,00</v>
      </c>
      <c r="BI317" s="5" t="str">
        <f>"2025"</f>
        <v>2025</v>
      </c>
      <c r="BJ317" s="5" t="str">
        <f>"нет"</f>
        <v>нет</v>
      </c>
      <c r="BK317" s="5" t="str">
        <f>""</f>
        <v/>
      </c>
      <c r="BL317" s="5" t="str">
        <f>""</f>
        <v/>
      </c>
      <c r="BM317" s="5" t="str">
        <f>""</f>
        <v/>
      </c>
      <c r="BN317" s="5" t="str">
        <f>"нет"</f>
        <v>нет</v>
      </c>
      <c r="BO317" s="5" t="str">
        <f>""</f>
        <v/>
      </c>
      <c r="BP317" s="5" t="str">
        <f>""</f>
        <v/>
      </c>
      <c r="BQ317" s="5" t="str">
        <f>""</f>
        <v/>
      </c>
      <c r="BR317" s="5" t="str">
        <f>"1983"</f>
        <v>1983</v>
      </c>
      <c r="BS317" s="5" t="str">
        <f>"30,00"</f>
        <v>30,00</v>
      </c>
      <c r="BT317" s="5" t="str">
        <f>"2025"</f>
        <v>2025</v>
      </c>
      <c r="BU317" s="5" t="str">
        <f t="shared" si="518"/>
        <v>нет</v>
      </c>
      <c r="BV317" s="5" t="str">
        <f t="shared" si="519"/>
        <v>x</v>
      </c>
      <c r="BW317" s="5" t="str">
        <f t="shared" si="519"/>
        <v>x</v>
      </c>
      <c r="BX317" s="5" t="str">
        <f t="shared" si="519"/>
        <v>x</v>
      </c>
      <c r="BY317" s="5" t="str">
        <f t="shared" si="532"/>
        <v>нет</v>
      </c>
      <c r="BZ317" s="5" t="str">
        <f t="shared" si="536"/>
        <v>x</v>
      </c>
      <c r="CA317" s="5" t="str">
        <f t="shared" si="547"/>
        <v>x</v>
      </c>
      <c r="CB317" s="5" t="str">
        <f t="shared" si="547"/>
        <v>x</v>
      </c>
      <c r="CC317" s="5" t="str">
        <f>"1983"</f>
        <v>1983</v>
      </c>
      <c r="CD317" s="5" t="str">
        <f>"50,00"</f>
        <v>50,00</v>
      </c>
      <c r="CE317" s="5" t="str">
        <f>"2020"</f>
        <v>2020</v>
      </c>
      <c r="CF317" s="5" t="str">
        <f>"1983"</f>
        <v>1983</v>
      </c>
      <c r="CG317" s="5" t="str">
        <f>"50,00"</f>
        <v>50,00</v>
      </c>
      <c r="CH317" s="5" t="str">
        <f>"2019"</f>
        <v>2019</v>
      </c>
      <c r="CI317" s="5" t="str">
        <f>"38,00"</f>
        <v>38,00</v>
      </c>
      <c r="CJ317" s="5" t="str">
        <f>"2025"</f>
        <v>2025</v>
      </c>
    </row>
    <row r="318" spans="1:88" ht="11.25" customHeight="1">
      <c r="A318" s="3" t="str">
        <f>"1.305"</f>
        <v>1.305</v>
      </c>
      <c r="B318" s="4" t="str">
        <f>"д. Аксеново (Вохтожское МО), д.37"</f>
        <v>д. Аксеново (Вохтожское МО), д.37</v>
      </c>
      <c r="C318" s="7" t="str">
        <f>"1978"</f>
        <v>1978</v>
      </c>
      <c r="D318" s="5" t="str">
        <f>""</f>
        <v/>
      </c>
      <c r="E318" s="5" t="str">
        <f>"38,00"</f>
        <v>38,00</v>
      </c>
      <c r="F318" s="5" t="str">
        <f>"2025"</f>
        <v>2025</v>
      </c>
      <c r="G318" s="5" t="str">
        <f t="shared" si="560"/>
        <v>нет</v>
      </c>
      <c r="H318" s="5" t="str">
        <f>""</f>
        <v/>
      </c>
      <c r="I318" s="5" t="str">
        <f>""</f>
        <v/>
      </c>
      <c r="J318" s="5" t="str">
        <f>""</f>
        <v/>
      </c>
      <c r="K318" s="5" t="str">
        <f t="shared" si="555"/>
        <v>нет</v>
      </c>
      <c r="L318" s="5" t="str">
        <f>""</f>
        <v/>
      </c>
      <c r="M318" s="5" t="str">
        <f>""</f>
        <v/>
      </c>
      <c r="N318" s="5" t="str">
        <f>""</f>
        <v/>
      </c>
      <c r="O318" s="8" t="str">
        <f>""</f>
        <v/>
      </c>
      <c r="P318" s="5" t="str">
        <f>""</f>
        <v/>
      </c>
      <c r="Q318" s="5" t="str">
        <f>""</f>
        <v/>
      </c>
      <c r="R318" s="5" t="str">
        <f>""</f>
        <v/>
      </c>
      <c r="S318" s="5" t="str">
        <f>""</f>
        <v/>
      </c>
      <c r="T318" s="5" t="str">
        <f>""</f>
        <v/>
      </c>
      <c r="U318" s="5" t="str">
        <f>""</f>
        <v/>
      </c>
      <c r="V318" s="5" t="str">
        <f>""</f>
        <v/>
      </c>
      <c r="W318" s="5" t="str">
        <f>""</f>
        <v/>
      </c>
      <c r="X318" s="5" t="str">
        <f>""</f>
        <v/>
      </c>
      <c r="Y318" s="9" t="str">
        <f>""</f>
        <v/>
      </c>
      <c r="Z318" s="5" t="str">
        <f>""</f>
        <v/>
      </c>
      <c r="AA318" s="5" t="str">
        <f>""</f>
        <v/>
      </c>
      <c r="AB318" s="5" t="str">
        <f>""</f>
        <v/>
      </c>
      <c r="AC318" s="5" t="str">
        <f>""</f>
        <v/>
      </c>
      <c r="AD318" s="5" t="str">
        <f>""</f>
        <v/>
      </c>
      <c r="AE318" s="5" t="str">
        <f>""</f>
        <v/>
      </c>
      <c r="AF318" s="5" t="str">
        <f>""</f>
        <v/>
      </c>
      <c r="AG318" s="5" t="str">
        <f>""</f>
        <v/>
      </c>
      <c r="AH318" s="5" t="str">
        <f>""</f>
        <v/>
      </c>
      <c r="AI318" s="5" t="str">
        <f>""</f>
        <v/>
      </c>
      <c r="AJ318" s="5" t="str">
        <f>""</f>
        <v/>
      </c>
      <c r="AK318" s="8" t="str">
        <f t="shared" ref="AK318:BQ318" si="561">"х"</f>
        <v>х</v>
      </c>
      <c r="AL318" s="5" t="str">
        <f t="shared" si="561"/>
        <v>х</v>
      </c>
      <c r="AM318" s="5" t="str">
        <f t="shared" si="561"/>
        <v>х</v>
      </c>
      <c r="AN318" s="5" t="str">
        <f t="shared" si="561"/>
        <v>х</v>
      </c>
      <c r="AO318" s="5" t="str">
        <f t="shared" si="561"/>
        <v>х</v>
      </c>
      <c r="AP318" s="5" t="str">
        <f t="shared" si="561"/>
        <v>х</v>
      </c>
      <c r="AQ318" s="5" t="str">
        <f t="shared" si="561"/>
        <v>х</v>
      </c>
      <c r="AR318" s="5" t="str">
        <f t="shared" si="561"/>
        <v>х</v>
      </c>
      <c r="AS318" s="5" t="str">
        <f t="shared" si="561"/>
        <v>х</v>
      </c>
      <c r="AT318" s="5" t="str">
        <f t="shared" si="561"/>
        <v>х</v>
      </c>
      <c r="AU318" s="5" t="str">
        <f t="shared" si="561"/>
        <v>х</v>
      </c>
      <c r="AV318" s="5" t="str">
        <f t="shared" si="561"/>
        <v>х</v>
      </c>
      <c r="AW318" s="5" t="str">
        <f t="shared" si="561"/>
        <v>х</v>
      </c>
      <c r="AX318" s="5" t="str">
        <f t="shared" si="561"/>
        <v>х</v>
      </c>
      <c r="AY318" s="5" t="str">
        <f t="shared" si="561"/>
        <v>х</v>
      </c>
      <c r="AZ318" s="5" t="str">
        <f t="shared" si="561"/>
        <v>х</v>
      </c>
      <c r="BA318" s="5" t="str">
        <f t="shared" si="561"/>
        <v>х</v>
      </c>
      <c r="BB318" s="5" t="str">
        <f t="shared" si="561"/>
        <v>х</v>
      </c>
      <c r="BC318" s="5" t="str">
        <f t="shared" si="561"/>
        <v>х</v>
      </c>
      <c r="BD318" s="5" t="str">
        <f t="shared" si="561"/>
        <v>х</v>
      </c>
      <c r="BE318" s="5" t="str">
        <f t="shared" si="561"/>
        <v>х</v>
      </c>
      <c r="BF318" s="5" t="str">
        <f t="shared" si="561"/>
        <v>х</v>
      </c>
      <c r="BG318" s="5" t="str">
        <f t="shared" si="561"/>
        <v>х</v>
      </c>
      <c r="BH318" s="5" t="str">
        <f t="shared" si="561"/>
        <v>х</v>
      </c>
      <c r="BI318" s="5" t="str">
        <f t="shared" si="561"/>
        <v>х</v>
      </c>
      <c r="BJ318" s="5" t="str">
        <f t="shared" si="561"/>
        <v>х</v>
      </c>
      <c r="BK318" s="5" t="str">
        <f t="shared" si="561"/>
        <v>х</v>
      </c>
      <c r="BL318" s="5" t="str">
        <f t="shared" si="561"/>
        <v>х</v>
      </c>
      <c r="BM318" s="5" t="str">
        <f t="shared" si="561"/>
        <v>х</v>
      </c>
      <c r="BN318" s="5" t="str">
        <f t="shared" si="561"/>
        <v>х</v>
      </c>
      <c r="BO318" s="5" t="str">
        <f t="shared" si="561"/>
        <v>х</v>
      </c>
      <c r="BP318" s="5" t="str">
        <f t="shared" si="561"/>
        <v>х</v>
      </c>
      <c r="BQ318" s="5" t="str">
        <f t="shared" si="561"/>
        <v>х</v>
      </c>
      <c r="BR318" s="5" t="str">
        <f>""</f>
        <v/>
      </c>
      <c r="BS318" s="5" t="str">
        <f>"38,00"</f>
        <v>38,00</v>
      </c>
      <c r="BT318" s="5" t="str">
        <f>"2017"</f>
        <v>2017</v>
      </c>
      <c r="BU318" s="5" t="str">
        <f t="shared" si="518"/>
        <v>нет</v>
      </c>
      <c r="BV318" s="5" t="str">
        <f t="shared" si="519"/>
        <v>x</v>
      </c>
      <c r="BW318" s="5" t="str">
        <f t="shared" si="519"/>
        <v>x</v>
      </c>
      <c r="BX318" s="5" t="str">
        <f t="shared" si="519"/>
        <v>x</v>
      </c>
      <c r="BY318" s="5" t="str">
        <f t="shared" si="532"/>
        <v>нет</v>
      </c>
      <c r="BZ318" s="5" t="str">
        <f t="shared" si="536"/>
        <v>x</v>
      </c>
      <c r="CA318" s="5" t="str">
        <f t="shared" si="547"/>
        <v>x</v>
      </c>
      <c r="CB318" s="5" t="str">
        <f t="shared" si="547"/>
        <v>x</v>
      </c>
      <c r="CC318" s="5" t="str">
        <f>""</f>
        <v/>
      </c>
      <c r="CD318" s="5" t="str">
        <f>"38,00"</f>
        <v>38,00</v>
      </c>
      <c r="CE318" s="5" t="str">
        <f>"2025"</f>
        <v>2025</v>
      </c>
      <c r="CF318" s="5" t="str">
        <f>""</f>
        <v/>
      </c>
      <c r="CG318" s="5" t="str">
        <f>"38,00"</f>
        <v>38,00</v>
      </c>
      <c r="CH318" s="5" t="str">
        <f>"2025"</f>
        <v>2025</v>
      </c>
      <c r="CI318" s="5" t="str">
        <f>"38,00"</f>
        <v>38,00</v>
      </c>
      <c r="CJ318" s="5" t="str">
        <f>"2025"</f>
        <v>2025</v>
      </c>
    </row>
    <row r="319" spans="1:88" ht="11.25" customHeight="1">
      <c r="A319" s="3" t="str">
        <f>"1.306"</f>
        <v>1.306</v>
      </c>
      <c r="B319" s="4" t="str">
        <f>"д. Анохино, улица. Центральная, д.45"</f>
        <v>д. Анохино, улица. Центральная, д.45</v>
      </c>
      <c r="C319" s="7" t="str">
        <f>"1990"</f>
        <v>1990</v>
      </c>
      <c r="D319" s="5" t="str">
        <f>"1990"</f>
        <v>1990</v>
      </c>
      <c r="E319" s="5" t="str">
        <f>"50,00"</f>
        <v>50,00</v>
      </c>
      <c r="F319" s="5" t="str">
        <f>"2025"</f>
        <v>2025</v>
      </c>
      <c r="G319" s="5" t="str">
        <f t="shared" si="560"/>
        <v>нет</v>
      </c>
      <c r="H319" s="5" t="str">
        <f>""</f>
        <v/>
      </c>
      <c r="I319" s="5" t="str">
        <f>""</f>
        <v/>
      </c>
      <c r="J319" s="5" t="str">
        <f>""</f>
        <v/>
      </c>
      <c r="K319" s="5" t="str">
        <f t="shared" si="555"/>
        <v>нет</v>
      </c>
      <c r="L319" s="5" t="str">
        <f>""</f>
        <v/>
      </c>
      <c r="M319" s="5" t="str">
        <f>""</f>
        <v/>
      </c>
      <c r="N319" s="5" t="str">
        <f>""</f>
        <v/>
      </c>
      <c r="O319" s="8" t="str">
        <f>"1990"</f>
        <v>1990</v>
      </c>
      <c r="P319" s="5" t="str">
        <f>"50,00"</f>
        <v>50,00</v>
      </c>
      <c r="Q319" s="5" t="str">
        <f>"2024"</f>
        <v>2024</v>
      </c>
      <c r="R319" s="5" t="str">
        <f>"нет"</f>
        <v>нет</v>
      </c>
      <c r="S319" s="5" t="str">
        <f>""</f>
        <v/>
      </c>
      <c r="T319" s="5" t="str">
        <f>""</f>
        <v/>
      </c>
      <c r="U319" s="5" t="str">
        <f>""</f>
        <v/>
      </c>
      <c r="V319" s="5" t="str">
        <f>"нет"</f>
        <v>нет</v>
      </c>
      <c r="W319" s="5" t="str">
        <f>""</f>
        <v/>
      </c>
      <c r="X319" s="5" t="str">
        <f>""</f>
        <v/>
      </c>
      <c r="Y319" s="9" t="str">
        <f>""</f>
        <v/>
      </c>
      <c r="Z319" s="5" t="str">
        <f t="shared" ref="Z319:AJ321" si="562">"х"</f>
        <v>х</v>
      </c>
      <c r="AA319" s="5" t="str">
        <f t="shared" si="562"/>
        <v>х</v>
      </c>
      <c r="AB319" s="5" t="str">
        <f t="shared" si="562"/>
        <v>х</v>
      </c>
      <c r="AC319" s="5" t="str">
        <f t="shared" si="562"/>
        <v>х</v>
      </c>
      <c r="AD319" s="5" t="str">
        <f t="shared" si="562"/>
        <v>х</v>
      </c>
      <c r="AE319" s="5" t="str">
        <f t="shared" si="562"/>
        <v>х</v>
      </c>
      <c r="AF319" s="5" t="str">
        <f t="shared" si="562"/>
        <v>х</v>
      </c>
      <c r="AG319" s="5" t="str">
        <f t="shared" si="562"/>
        <v>х</v>
      </c>
      <c r="AH319" s="5" t="str">
        <f t="shared" si="562"/>
        <v>х</v>
      </c>
      <c r="AI319" s="5" t="str">
        <f t="shared" si="562"/>
        <v>х</v>
      </c>
      <c r="AJ319" s="5" t="str">
        <f t="shared" si="562"/>
        <v>х</v>
      </c>
      <c r="AK319" s="8" t="str">
        <f>"1990"</f>
        <v>1990</v>
      </c>
      <c r="AL319" s="5" t="str">
        <f>"50,00"</f>
        <v>50,00</v>
      </c>
      <c r="AM319" s="5" t="str">
        <f>"2023"</f>
        <v>2023</v>
      </c>
      <c r="AN319" s="5" t="str">
        <f>"да"</f>
        <v>да</v>
      </c>
      <c r="AO319" s="5" t="str">
        <f>""</f>
        <v/>
      </c>
      <c r="AP319" s="5" t="str">
        <f>"24,00"</f>
        <v>24,00</v>
      </c>
      <c r="AQ319" s="5" t="str">
        <f>"2037"</f>
        <v>2037</v>
      </c>
      <c r="AR319" s="5" t="str">
        <f>"нет"</f>
        <v>нет</v>
      </c>
      <c r="AS319" s="5" t="str">
        <f>""</f>
        <v/>
      </c>
      <c r="AT319" s="5" t="str">
        <f>""</f>
        <v/>
      </c>
      <c r="AU319" s="5" t="str">
        <f>""</f>
        <v/>
      </c>
      <c r="AV319" s="5" t="str">
        <f>"1990"</f>
        <v>1990</v>
      </c>
      <c r="AW319" s="5" t="str">
        <f>"50,00"</f>
        <v>50,00</v>
      </c>
      <c r="AX319" s="5" t="str">
        <f>"2023"</f>
        <v>2023</v>
      </c>
      <c r="AY319" s="5" t="str">
        <f>"нет"</f>
        <v>нет</v>
      </c>
      <c r="AZ319" s="5" t="str">
        <f>""</f>
        <v/>
      </c>
      <c r="BA319" s="5" t="str">
        <f>""</f>
        <v/>
      </c>
      <c r="BB319" s="5" t="str">
        <f>""</f>
        <v/>
      </c>
      <c r="BC319" s="5" t="str">
        <f>"нет"</f>
        <v>нет</v>
      </c>
      <c r="BD319" s="5" t="str">
        <f>""</f>
        <v/>
      </c>
      <c r="BE319" s="5" t="str">
        <f>""</f>
        <v/>
      </c>
      <c r="BF319" s="5" t="str">
        <f>""</f>
        <v/>
      </c>
      <c r="BG319" s="5" t="str">
        <f>"1990"</f>
        <v>1990</v>
      </c>
      <c r="BH319" s="5" t="str">
        <f>"50,00"</f>
        <v>50,00</v>
      </c>
      <c r="BI319" s="5" t="str">
        <f>"2023"</f>
        <v>2023</v>
      </c>
      <c r="BJ319" s="5" t="str">
        <f>"нет"</f>
        <v>нет</v>
      </c>
      <c r="BK319" s="5" t="str">
        <f>""</f>
        <v/>
      </c>
      <c r="BL319" s="5" t="str">
        <f>""</f>
        <v/>
      </c>
      <c r="BM319" s="5" t="str">
        <f>""</f>
        <v/>
      </c>
      <c r="BN319" s="5" t="str">
        <f>"нет"</f>
        <v>нет</v>
      </c>
      <c r="BO319" s="5" t="str">
        <f>""</f>
        <v/>
      </c>
      <c r="BP319" s="5" t="str">
        <f>""</f>
        <v/>
      </c>
      <c r="BQ319" s="5" t="str">
        <f>""</f>
        <v/>
      </c>
      <c r="BR319" s="5" t="str">
        <f>"1990"</f>
        <v>1990</v>
      </c>
      <c r="BS319" s="5" t="str">
        <f>"50,00"</f>
        <v>50,00</v>
      </c>
      <c r="BT319" s="5" t="str">
        <f>"2024"</f>
        <v>2024</v>
      </c>
      <c r="BU319" s="5" t="str">
        <f t="shared" si="518"/>
        <v>нет</v>
      </c>
      <c r="BV319" s="5" t="str">
        <f t="shared" si="519"/>
        <v>x</v>
      </c>
      <c r="BW319" s="5" t="str">
        <f t="shared" si="519"/>
        <v>x</v>
      </c>
      <c r="BX319" s="5" t="str">
        <f t="shared" si="519"/>
        <v>x</v>
      </c>
      <c r="BY319" s="5" t="str">
        <f t="shared" si="532"/>
        <v>нет</v>
      </c>
      <c r="BZ319" s="5" t="str">
        <f>"1990"</f>
        <v>1990</v>
      </c>
      <c r="CA319" s="5" t="str">
        <f>"50,00"</f>
        <v>50,00</v>
      </c>
      <c r="CB319" s="5" t="str">
        <f>"2022"</f>
        <v>2022</v>
      </c>
      <c r="CC319" s="5" t="str">
        <f>"1990"</f>
        <v>1990</v>
      </c>
      <c r="CD319" s="5" t="str">
        <f>"50,00"</f>
        <v>50,00</v>
      </c>
      <c r="CE319" s="5" t="str">
        <f>"2022"</f>
        <v>2022</v>
      </c>
      <c r="CF319" s="5" t="str">
        <f>"1990"</f>
        <v>1990</v>
      </c>
      <c r="CG319" s="5" t="str">
        <f>"50,00"</f>
        <v>50,00</v>
      </c>
      <c r="CH319" s="5" t="str">
        <f>"2022"</f>
        <v>2022</v>
      </c>
      <c r="CI319" s="5" t="str">
        <f>"14,00"</f>
        <v>14,00</v>
      </c>
      <c r="CJ319" s="5" t="str">
        <f>"2045"</f>
        <v>2045</v>
      </c>
    </row>
    <row r="320" spans="1:88" ht="11.25" customHeight="1">
      <c r="A320" s="3" t="str">
        <f>"1.307"</f>
        <v>1.307</v>
      </c>
      <c r="B320" s="4" t="str">
        <f>"д. Анохино, улица. Центральная, д.46"</f>
        <v>д. Анохино, улица. Центральная, д.46</v>
      </c>
      <c r="C320" s="7" t="str">
        <f>"1990"</f>
        <v>1990</v>
      </c>
      <c r="D320" s="5" t="str">
        <f>"1990"</f>
        <v>1990</v>
      </c>
      <c r="E320" s="5" t="str">
        <f>"50,00"</f>
        <v>50,00</v>
      </c>
      <c r="F320" s="5" t="str">
        <f>"2026"</f>
        <v>2026</v>
      </c>
      <c r="G320" s="5" t="str">
        <f t="shared" si="560"/>
        <v>нет</v>
      </c>
      <c r="H320" s="5" t="str">
        <f>""</f>
        <v/>
      </c>
      <c r="I320" s="5" t="str">
        <f>""</f>
        <v/>
      </c>
      <c r="J320" s="5" t="str">
        <f>""</f>
        <v/>
      </c>
      <c r="K320" s="5" t="str">
        <f t="shared" si="555"/>
        <v>нет</v>
      </c>
      <c r="L320" s="5" t="str">
        <f>""</f>
        <v/>
      </c>
      <c r="M320" s="5" t="str">
        <f>""</f>
        <v/>
      </c>
      <c r="N320" s="5" t="str">
        <f>""</f>
        <v/>
      </c>
      <c r="O320" s="8" t="str">
        <f>"1990"</f>
        <v>1990</v>
      </c>
      <c r="P320" s="5" t="str">
        <f>"50,00"</f>
        <v>50,00</v>
      </c>
      <c r="Q320" s="5" t="str">
        <f>"2025"</f>
        <v>2025</v>
      </c>
      <c r="R320" s="5" t="str">
        <f>"нет"</f>
        <v>нет</v>
      </c>
      <c r="S320" s="5" t="str">
        <f>""</f>
        <v/>
      </c>
      <c r="T320" s="5" t="str">
        <f>""</f>
        <v/>
      </c>
      <c r="U320" s="5" t="str">
        <f>""</f>
        <v/>
      </c>
      <c r="V320" s="5" t="str">
        <f>"нет"</f>
        <v>нет</v>
      </c>
      <c r="W320" s="5" t="str">
        <f>""</f>
        <v/>
      </c>
      <c r="X320" s="5" t="str">
        <f>""</f>
        <v/>
      </c>
      <c r="Y320" s="9" t="str">
        <f>""</f>
        <v/>
      </c>
      <c r="Z320" s="5" t="str">
        <f t="shared" si="562"/>
        <v>х</v>
      </c>
      <c r="AA320" s="5" t="str">
        <f t="shared" si="562"/>
        <v>х</v>
      </c>
      <c r="AB320" s="5" t="str">
        <f t="shared" si="562"/>
        <v>х</v>
      </c>
      <c r="AC320" s="5" t="str">
        <f t="shared" si="562"/>
        <v>х</v>
      </c>
      <c r="AD320" s="5" t="str">
        <f t="shared" si="562"/>
        <v>х</v>
      </c>
      <c r="AE320" s="5" t="str">
        <f t="shared" si="562"/>
        <v>х</v>
      </c>
      <c r="AF320" s="5" t="str">
        <f t="shared" si="562"/>
        <v>х</v>
      </c>
      <c r="AG320" s="5" t="str">
        <f t="shared" si="562"/>
        <v>х</v>
      </c>
      <c r="AH320" s="5" t="str">
        <f t="shared" si="562"/>
        <v>х</v>
      </c>
      <c r="AI320" s="5" t="str">
        <f t="shared" si="562"/>
        <v>х</v>
      </c>
      <c r="AJ320" s="5" t="str">
        <f t="shared" si="562"/>
        <v>х</v>
      </c>
      <c r="AK320" s="8" t="str">
        <f>"1990"</f>
        <v>1990</v>
      </c>
      <c r="AL320" s="5" t="str">
        <f>"50,00"</f>
        <v>50,00</v>
      </c>
      <c r="AM320" s="5" t="str">
        <f>"2024"</f>
        <v>2024</v>
      </c>
      <c r="AN320" s="5" t="str">
        <f>"нет"</f>
        <v>нет</v>
      </c>
      <c r="AO320" s="5" t="str">
        <f>""</f>
        <v/>
      </c>
      <c r="AP320" s="5" t="str">
        <f>""</f>
        <v/>
      </c>
      <c r="AQ320" s="5" t="str">
        <f>""</f>
        <v/>
      </c>
      <c r="AR320" s="5" t="str">
        <f>"нет"</f>
        <v>нет</v>
      </c>
      <c r="AS320" s="5" t="str">
        <f>""</f>
        <v/>
      </c>
      <c r="AT320" s="5" t="str">
        <f>""</f>
        <v/>
      </c>
      <c r="AU320" s="5" t="str">
        <f>""</f>
        <v/>
      </c>
      <c r="AV320" s="5" t="str">
        <f>"1990"</f>
        <v>1990</v>
      </c>
      <c r="AW320" s="5" t="str">
        <f>"50,00"</f>
        <v>50,00</v>
      </c>
      <c r="AX320" s="5" t="str">
        <f>"2024"</f>
        <v>2024</v>
      </c>
      <c r="AY320" s="5" t="str">
        <f>"нет"</f>
        <v>нет</v>
      </c>
      <c r="AZ320" s="5" t="str">
        <f>""</f>
        <v/>
      </c>
      <c r="BA320" s="5" t="str">
        <f>""</f>
        <v/>
      </c>
      <c r="BB320" s="5" t="str">
        <f>""</f>
        <v/>
      </c>
      <c r="BC320" s="5" t="str">
        <f>"нет"</f>
        <v>нет</v>
      </c>
      <c r="BD320" s="5" t="str">
        <f>""</f>
        <v/>
      </c>
      <c r="BE320" s="5" t="str">
        <f>""</f>
        <v/>
      </c>
      <c r="BF320" s="5" t="str">
        <f>""</f>
        <v/>
      </c>
      <c r="BG320" s="5" t="str">
        <f>"1990"</f>
        <v>1990</v>
      </c>
      <c r="BH320" s="5" t="str">
        <f>"50,00"</f>
        <v>50,00</v>
      </c>
      <c r="BI320" s="5" t="str">
        <f>"2024"</f>
        <v>2024</v>
      </c>
      <c r="BJ320" s="5" t="str">
        <f>"нет"</f>
        <v>нет</v>
      </c>
      <c r="BK320" s="5" t="str">
        <f>""</f>
        <v/>
      </c>
      <c r="BL320" s="5" t="str">
        <f>""</f>
        <v/>
      </c>
      <c r="BM320" s="5" t="str">
        <f>""</f>
        <v/>
      </c>
      <c r="BN320" s="5" t="str">
        <f>"нет"</f>
        <v>нет</v>
      </c>
      <c r="BO320" s="5" t="str">
        <f>""</f>
        <v/>
      </c>
      <c r="BP320" s="5" t="str">
        <f>""</f>
        <v/>
      </c>
      <c r="BQ320" s="5" t="str">
        <f>""</f>
        <v/>
      </c>
      <c r="BR320" s="5" t="str">
        <f>"1990"</f>
        <v>1990</v>
      </c>
      <c r="BS320" s="5" t="str">
        <f>"50,00"</f>
        <v>50,00</v>
      </c>
      <c r="BT320" s="5" t="str">
        <f>"2022"</f>
        <v>2022</v>
      </c>
      <c r="BU320" s="5" t="str">
        <f t="shared" si="518"/>
        <v>нет</v>
      </c>
      <c r="BV320" s="5" t="str">
        <f t="shared" ref="BV320:BX339" si="563">"x"</f>
        <v>x</v>
      </c>
      <c r="BW320" s="5" t="str">
        <f t="shared" si="563"/>
        <v>x</v>
      </c>
      <c r="BX320" s="5" t="str">
        <f t="shared" si="563"/>
        <v>x</v>
      </c>
      <c r="BY320" s="5" t="str">
        <f t="shared" si="532"/>
        <v>нет</v>
      </c>
      <c r="BZ320" s="5" t="str">
        <f>"1990"</f>
        <v>1990</v>
      </c>
      <c r="CA320" s="5" t="str">
        <f>"50,00"</f>
        <v>50,00</v>
      </c>
      <c r="CB320" s="5" t="str">
        <f>"2022"</f>
        <v>2022</v>
      </c>
      <c r="CC320" s="5" t="str">
        <f>"1990"</f>
        <v>1990</v>
      </c>
      <c r="CD320" s="5" t="str">
        <f>"50,00"</f>
        <v>50,00</v>
      </c>
      <c r="CE320" s="5" t="str">
        <f>"2022"</f>
        <v>2022</v>
      </c>
      <c r="CF320" s="5" t="str">
        <f>"1990"</f>
        <v>1990</v>
      </c>
      <c r="CG320" s="5" t="str">
        <f>"50,00"</f>
        <v>50,00</v>
      </c>
      <c r="CH320" s="5" t="str">
        <f>"2022"</f>
        <v>2022</v>
      </c>
      <c r="CI320" s="5" t="str">
        <f>"14,00"</f>
        <v>14,00</v>
      </c>
      <c r="CJ320" s="5" t="str">
        <f>"2043"</f>
        <v>2043</v>
      </c>
    </row>
    <row r="321" spans="1:88" ht="11.25" customHeight="1">
      <c r="A321" s="3" t="str">
        <f>"1.308"</f>
        <v>1.308</v>
      </c>
      <c r="B321" s="4" t="str">
        <f>"д. Бекренево, д.1"</f>
        <v>д. Бекренево, д.1</v>
      </c>
      <c r="C321" s="7" t="str">
        <f>"1989"</f>
        <v>1989</v>
      </c>
      <c r="D321" s="5" t="str">
        <f>"1989"</f>
        <v>1989</v>
      </c>
      <c r="E321" s="5" t="str">
        <f>"60,00"</f>
        <v>60,00</v>
      </c>
      <c r="F321" s="5" t="str">
        <f>"2025"</f>
        <v>2025</v>
      </c>
      <c r="G321" s="5" t="str">
        <f t="shared" si="560"/>
        <v>нет</v>
      </c>
      <c r="H321" s="5" t="str">
        <f>""</f>
        <v/>
      </c>
      <c r="I321" s="5" t="str">
        <f>""</f>
        <v/>
      </c>
      <c r="J321" s="5" t="str">
        <f>""</f>
        <v/>
      </c>
      <c r="K321" s="5" t="str">
        <f t="shared" si="555"/>
        <v>нет</v>
      </c>
      <c r="L321" s="5" t="str">
        <f>""</f>
        <v/>
      </c>
      <c r="M321" s="5" t="str">
        <f>""</f>
        <v/>
      </c>
      <c r="N321" s="5" t="str">
        <f>""</f>
        <v/>
      </c>
      <c r="O321" s="8" t="str">
        <f>""</f>
        <v/>
      </c>
      <c r="P321" s="5" t="str">
        <f>""</f>
        <v/>
      </c>
      <c r="Q321" s="5" t="str">
        <f>""</f>
        <v/>
      </c>
      <c r="R321" s="5" t="str">
        <f>""</f>
        <v/>
      </c>
      <c r="S321" s="5" t="str">
        <f>""</f>
        <v/>
      </c>
      <c r="T321" s="5" t="str">
        <f>""</f>
        <v/>
      </c>
      <c r="U321" s="5" t="str">
        <f>""</f>
        <v/>
      </c>
      <c r="V321" s="5" t="str">
        <f>""</f>
        <v/>
      </c>
      <c r="W321" s="5" t="str">
        <f>""</f>
        <v/>
      </c>
      <c r="X321" s="5" t="str">
        <f>""</f>
        <v/>
      </c>
      <c r="Y321" s="9" t="str">
        <f>""</f>
        <v/>
      </c>
      <c r="Z321" s="5" t="str">
        <f t="shared" si="562"/>
        <v>х</v>
      </c>
      <c r="AA321" s="5" t="str">
        <f t="shared" si="562"/>
        <v>х</v>
      </c>
      <c r="AB321" s="5" t="str">
        <f t="shared" si="562"/>
        <v>х</v>
      </c>
      <c r="AC321" s="5" t="str">
        <f t="shared" si="562"/>
        <v>х</v>
      </c>
      <c r="AD321" s="5" t="str">
        <f t="shared" si="562"/>
        <v>х</v>
      </c>
      <c r="AE321" s="5" t="str">
        <f t="shared" si="562"/>
        <v>х</v>
      </c>
      <c r="AF321" s="5" t="str">
        <f t="shared" si="562"/>
        <v>х</v>
      </c>
      <c r="AG321" s="5" t="str">
        <f t="shared" si="562"/>
        <v>х</v>
      </c>
      <c r="AH321" s="5" t="str">
        <f t="shared" si="562"/>
        <v>х</v>
      </c>
      <c r="AI321" s="5" t="str">
        <f t="shared" si="562"/>
        <v>х</v>
      </c>
      <c r="AJ321" s="5" t="str">
        <f t="shared" si="562"/>
        <v>х</v>
      </c>
      <c r="AK321" s="8" t="str">
        <f t="shared" ref="AK321:AT325" si="564">"х"</f>
        <v>х</v>
      </c>
      <c r="AL321" s="5" t="str">
        <f t="shared" si="564"/>
        <v>х</v>
      </c>
      <c r="AM321" s="5" t="str">
        <f t="shared" si="564"/>
        <v>х</v>
      </c>
      <c r="AN321" s="5" t="str">
        <f t="shared" si="564"/>
        <v>х</v>
      </c>
      <c r="AO321" s="5" t="str">
        <f t="shared" si="564"/>
        <v>х</v>
      </c>
      <c r="AP321" s="5" t="str">
        <f t="shared" si="564"/>
        <v>х</v>
      </c>
      <c r="AQ321" s="5" t="str">
        <f t="shared" si="564"/>
        <v>х</v>
      </c>
      <c r="AR321" s="5" t="str">
        <f t="shared" si="564"/>
        <v>х</v>
      </c>
      <c r="AS321" s="5" t="str">
        <f t="shared" si="564"/>
        <v>х</v>
      </c>
      <c r="AT321" s="5" t="str">
        <f t="shared" si="564"/>
        <v>х</v>
      </c>
      <c r="AU321" s="5" t="str">
        <f t="shared" ref="AU321:BD325" si="565">"х"</f>
        <v>х</v>
      </c>
      <c r="AV321" s="5" t="str">
        <f t="shared" si="565"/>
        <v>х</v>
      </c>
      <c r="AW321" s="5" t="str">
        <f t="shared" si="565"/>
        <v>х</v>
      </c>
      <c r="AX321" s="5" t="str">
        <f t="shared" si="565"/>
        <v>х</v>
      </c>
      <c r="AY321" s="5" t="str">
        <f t="shared" si="565"/>
        <v>х</v>
      </c>
      <c r="AZ321" s="5" t="str">
        <f t="shared" si="565"/>
        <v>х</v>
      </c>
      <c r="BA321" s="5" t="str">
        <f t="shared" si="565"/>
        <v>х</v>
      </c>
      <c r="BB321" s="5" t="str">
        <f t="shared" si="565"/>
        <v>х</v>
      </c>
      <c r="BC321" s="5" t="str">
        <f t="shared" si="565"/>
        <v>х</v>
      </c>
      <c r="BD321" s="5" t="str">
        <f t="shared" si="565"/>
        <v>х</v>
      </c>
      <c r="BE321" s="5" t="str">
        <f t="shared" ref="BE321:BQ325" si="566">"х"</f>
        <v>х</v>
      </c>
      <c r="BF321" s="5" t="str">
        <f t="shared" si="566"/>
        <v>х</v>
      </c>
      <c r="BG321" s="5" t="str">
        <f t="shared" si="566"/>
        <v>х</v>
      </c>
      <c r="BH321" s="5" t="str">
        <f t="shared" si="566"/>
        <v>х</v>
      </c>
      <c r="BI321" s="5" t="str">
        <f t="shared" si="566"/>
        <v>х</v>
      </c>
      <c r="BJ321" s="5" t="str">
        <f t="shared" si="566"/>
        <v>х</v>
      </c>
      <c r="BK321" s="5" t="str">
        <f t="shared" si="566"/>
        <v>х</v>
      </c>
      <c r="BL321" s="5" t="str">
        <f t="shared" si="566"/>
        <v>х</v>
      </c>
      <c r="BM321" s="5" t="str">
        <f t="shared" si="566"/>
        <v>х</v>
      </c>
      <c r="BN321" s="5" t="str">
        <f t="shared" si="566"/>
        <v>х</v>
      </c>
      <c r="BO321" s="5" t="str">
        <f t="shared" si="566"/>
        <v>х</v>
      </c>
      <c r="BP321" s="5" t="str">
        <f t="shared" si="566"/>
        <v>х</v>
      </c>
      <c r="BQ321" s="5" t="str">
        <f t="shared" si="566"/>
        <v>х</v>
      </c>
      <c r="BR321" s="5" t="str">
        <f>"1989"</f>
        <v>1989</v>
      </c>
      <c r="BS321" s="5" t="str">
        <f>"60,00"</f>
        <v>60,00</v>
      </c>
      <c r="BT321" s="5" t="str">
        <f>"2025"</f>
        <v>2025</v>
      </c>
      <c r="BU321" s="5" t="str">
        <f t="shared" si="518"/>
        <v>нет</v>
      </c>
      <c r="BV321" s="5" t="str">
        <f t="shared" si="563"/>
        <v>x</v>
      </c>
      <c r="BW321" s="5" t="str">
        <f t="shared" si="563"/>
        <v>x</v>
      </c>
      <c r="BX321" s="5" t="str">
        <f t="shared" si="563"/>
        <v>x</v>
      </c>
      <c r="BY321" s="5" t="str">
        <f t="shared" si="532"/>
        <v>нет</v>
      </c>
      <c r="BZ321" s="5" t="str">
        <f t="shared" ref="BZ321:CB325" si="567">"x"</f>
        <v>x</v>
      </c>
      <c r="CA321" s="5" t="str">
        <f t="shared" si="567"/>
        <v>x</v>
      </c>
      <c r="CB321" s="5" t="str">
        <f t="shared" si="567"/>
        <v>x</v>
      </c>
      <c r="CC321" s="5" t="str">
        <f>"1989"</f>
        <v>1989</v>
      </c>
      <c r="CD321" s="5" t="str">
        <f>"60,00"</f>
        <v>60,00</v>
      </c>
      <c r="CE321" s="5" t="str">
        <f>"2025"</f>
        <v>2025</v>
      </c>
      <c r="CF321" s="5" t="str">
        <f>"1989"</f>
        <v>1989</v>
      </c>
      <c r="CG321" s="5" t="str">
        <f>"60,00"</f>
        <v>60,00</v>
      </c>
      <c r="CH321" s="5" t="str">
        <f>"2025"</f>
        <v>2025</v>
      </c>
      <c r="CI321" s="5" t="str">
        <f>"68,00"</f>
        <v>68,00</v>
      </c>
      <c r="CJ321" s="5" t="str">
        <f>"2041"</f>
        <v>2041</v>
      </c>
    </row>
    <row r="322" spans="1:88" ht="11.25" customHeight="1">
      <c r="A322" s="3" t="str">
        <f>"1.309"</f>
        <v>1.309</v>
      </c>
      <c r="B322" s="4" t="str">
        <f>"д. Большие Дворища, д.15"</f>
        <v>д. Большие Дворища, д.15</v>
      </c>
      <c r="C322" s="7" t="str">
        <f>"1973"</f>
        <v>1973</v>
      </c>
      <c r="D322" s="5" t="str">
        <f>""</f>
        <v/>
      </c>
      <c r="E322" s="5" t="str">
        <f>"70,00"</f>
        <v>70,00</v>
      </c>
      <c r="F322" s="5" t="str">
        <f>"2016"</f>
        <v>2016</v>
      </c>
      <c r="G322" s="5" t="str">
        <f t="shared" si="560"/>
        <v>нет</v>
      </c>
      <c r="H322" s="5" t="str">
        <f>""</f>
        <v/>
      </c>
      <c r="I322" s="5" t="str">
        <f>""</f>
        <v/>
      </c>
      <c r="J322" s="5" t="str">
        <f>""</f>
        <v/>
      </c>
      <c r="K322" s="5" t="str">
        <f t="shared" si="555"/>
        <v>нет</v>
      </c>
      <c r="L322" s="5" t="str">
        <f>""</f>
        <v/>
      </c>
      <c r="M322" s="5" t="str">
        <f>""</f>
        <v/>
      </c>
      <c r="N322" s="5" t="str">
        <f>""</f>
        <v/>
      </c>
      <c r="O322" s="8" t="str">
        <f t="shared" ref="O322:Y323" si="568">"х"</f>
        <v>х</v>
      </c>
      <c r="P322" s="5" t="str">
        <f t="shared" si="568"/>
        <v>х</v>
      </c>
      <c r="Q322" s="5" t="str">
        <f t="shared" si="568"/>
        <v>х</v>
      </c>
      <c r="R322" s="5" t="str">
        <f t="shared" si="568"/>
        <v>х</v>
      </c>
      <c r="S322" s="5" t="str">
        <f t="shared" si="568"/>
        <v>х</v>
      </c>
      <c r="T322" s="5" t="str">
        <f t="shared" si="568"/>
        <v>х</v>
      </c>
      <c r="U322" s="5" t="str">
        <f t="shared" si="568"/>
        <v>х</v>
      </c>
      <c r="V322" s="5" t="str">
        <f t="shared" si="568"/>
        <v>х</v>
      </c>
      <c r="W322" s="5" t="str">
        <f t="shared" si="568"/>
        <v>х</v>
      </c>
      <c r="X322" s="5" t="str">
        <f t="shared" si="568"/>
        <v>х</v>
      </c>
      <c r="Y322" s="9" t="str">
        <f t="shared" si="568"/>
        <v>х</v>
      </c>
      <c r="Z322" s="5" t="str">
        <f>""</f>
        <v/>
      </c>
      <c r="AA322" s="5" t="str">
        <f>"70,00"</f>
        <v>70,00</v>
      </c>
      <c r="AB322" s="5" t="str">
        <f>"2019"</f>
        <v>2019</v>
      </c>
      <c r="AC322" s="5" t="str">
        <f>"нет"</f>
        <v>нет</v>
      </c>
      <c r="AD322" s="5" t="str">
        <f>""</f>
        <v/>
      </c>
      <c r="AE322" s="5" t="str">
        <f>""</f>
        <v/>
      </c>
      <c r="AF322" s="5" t="str">
        <f>""</f>
        <v/>
      </c>
      <c r="AG322" s="5" t="str">
        <f>"нет"</f>
        <v>нет</v>
      </c>
      <c r="AH322" s="5" t="str">
        <f>""</f>
        <v/>
      </c>
      <c r="AI322" s="5" t="str">
        <f>""</f>
        <v/>
      </c>
      <c r="AJ322" s="5" t="str">
        <f>""</f>
        <v/>
      </c>
      <c r="AK322" s="8" t="str">
        <f t="shared" si="564"/>
        <v>х</v>
      </c>
      <c r="AL322" s="5" t="str">
        <f t="shared" si="564"/>
        <v>х</v>
      </c>
      <c r="AM322" s="5" t="str">
        <f t="shared" si="564"/>
        <v>х</v>
      </c>
      <c r="AN322" s="5" t="str">
        <f t="shared" si="564"/>
        <v>х</v>
      </c>
      <c r="AO322" s="5" t="str">
        <f t="shared" si="564"/>
        <v>х</v>
      </c>
      <c r="AP322" s="5" t="str">
        <f t="shared" si="564"/>
        <v>х</v>
      </c>
      <c r="AQ322" s="5" t="str">
        <f t="shared" si="564"/>
        <v>х</v>
      </c>
      <c r="AR322" s="5" t="str">
        <f t="shared" si="564"/>
        <v>х</v>
      </c>
      <c r="AS322" s="5" t="str">
        <f t="shared" si="564"/>
        <v>х</v>
      </c>
      <c r="AT322" s="5" t="str">
        <f t="shared" si="564"/>
        <v>х</v>
      </c>
      <c r="AU322" s="5" t="str">
        <f t="shared" si="565"/>
        <v>х</v>
      </c>
      <c r="AV322" s="5" t="str">
        <f t="shared" si="565"/>
        <v>х</v>
      </c>
      <c r="AW322" s="5" t="str">
        <f t="shared" si="565"/>
        <v>х</v>
      </c>
      <c r="AX322" s="5" t="str">
        <f t="shared" si="565"/>
        <v>х</v>
      </c>
      <c r="AY322" s="5" t="str">
        <f t="shared" si="565"/>
        <v>х</v>
      </c>
      <c r="AZ322" s="5" t="str">
        <f t="shared" si="565"/>
        <v>х</v>
      </c>
      <c r="BA322" s="5" t="str">
        <f t="shared" si="565"/>
        <v>х</v>
      </c>
      <c r="BB322" s="5" t="str">
        <f t="shared" si="565"/>
        <v>х</v>
      </c>
      <c r="BC322" s="5" t="str">
        <f t="shared" si="565"/>
        <v>х</v>
      </c>
      <c r="BD322" s="5" t="str">
        <f t="shared" si="565"/>
        <v>х</v>
      </c>
      <c r="BE322" s="5" t="str">
        <f t="shared" si="566"/>
        <v>х</v>
      </c>
      <c r="BF322" s="5" t="str">
        <f t="shared" si="566"/>
        <v>х</v>
      </c>
      <c r="BG322" s="5" t="str">
        <f t="shared" si="566"/>
        <v>х</v>
      </c>
      <c r="BH322" s="5" t="str">
        <f t="shared" si="566"/>
        <v>х</v>
      </c>
      <c r="BI322" s="5" t="str">
        <f t="shared" si="566"/>
        <v>х</v>
      </c>
      <c r="BJ322" s="5" t="str">
        <f t="shared" si="566"/>
        <v>х</v>
      </c>
      <c r="BK322" s="5" t="str">
        <f t="shared" si="566"/>
        <v>х</v>
      </c>
      <c r="BL322" s="5" t="str">
        <f t="shared" si="566"/>
        <v>х</v>
      </c>
      <c r="BM322" s="5" t="str">
        <f t="shared" si="566"/>
        <v>х</v>
      </c>
      <c r="BN322" s="5" t="str">
        <f t="shared" si="566"/>
        <v>х</v>
      </c>
      <c r="BO322" s="5" t="str">
        <f t="shared" si="566"/>
        <v>х</v>
      </c>
      <c r="BP322" s="5" t="str">
        <f t="shared" si="566"/>
        <v>х</v>
      </c>
      <c r="BQ322" s="5" t="str">
        <f t="shared" si="566"/>
        <v>х</v>
      </c>
      <c r="BR322" s="5" t="str">
        <f>""</f>
        <v/>
      </c>
      <c r="BS322" s="5" t="str">
        <f>"75,00"</f>
        <v>75,00</v>
      </c>
      <c r="BT322" s="5" t="str">
        <f>"2019"</f>
        <v>2019</v>
      </c>
      <c r="BU322" s="5" t="str">
        <f t="shared" si="518"/>
        <v>нет</v>
      </c>
      <c r="BV322" s="5" t="str">
        <f t="shared" si="563"/>
        <v>x</v>
      </c>
      <c r="BW322" s="5" t="str">
        <f t="shared" si="563"/>
        <v>x</v>
      </c>
      <c r="BX322" s="5" t="str">
        <f t="shared" si="563"/>
        <v>x</v>
      </c>
      <c r="BY322" s="5" t="str">
        <f t="shared" si="532"/>
        <v>нет</v>
      </c>
      <c r="BZ322" s="5" t="str">
        <f t="shared" si="567"/>
        <v>x</v>
      </c>
      <c r="CA322" s="5" t="str">
        <f t="shared" si="567"/>
        <v>x</v>
      </c>
      <c r="CB322" s="5" t="str">
        <f t="shared" si="567"/>
        <v>x</v>
      </c>
      <c r="CC322" s="5" t="str">
        <f>""</f>
        <v/>
      </c>
      <c r="CD322" s="5" t="str">
        <f>"75,00"</f>
        <v>75,00</v>
      </c>
      <c r="CE322" s="5" t="str">
        <f>"2020"</f>
        <v>2020</v>
      </c>
      <c r="CF322" s="5" t="str">
        <f>""</f>
        <v/>
      </c>
      <c r="CG322" s="5" t="str">
        <f>"75,00"</f>
        <v>75,00</v>
      </c>
      <c r="CH322" s="5" t="str">
        <f>"2021"</f>
        <v>2021</v>
      </c>
      <c r="CI322" s="5" t="str">
        <f>"80,00"</f>
        <v>80,00</v>
      </c>
      <c r="CJ322" s="5" t="str">
        <f>"2028"</f>
        <v>2028</v>
      </c>
    </row>
    <row r="323" spans="1:88" ht="11.25" customHeight="1">
      <c r="A323" s="3" t="str">
        <f>"1.310"</f>
        <v>1.310</v>
      </c>
      <c r="B323" s="4" t="str">
        <f>"д. Большие Дворища, д.32"</f>
        <v>д. Большие Дворища, д.32</v>
      </c>
      <c r="C323" s="7" t="str">
        <f>"1976"</f>
        <v>1976</v>
      </c>
      <c r="D323" s="5" t="str">
        <f>""</f>
        <v/>
      </c>
      <c r="E323" s="5" t="str">
        <f>"70,00"</f>
        <v>70,00</v>
      </c>
      <c r="F323" s="5" t="str">
        <f>"2016"</f>
        <v>2016</v>
      </c>
      <c r="G323" s="5" t="str">
        <f t="shared" si="560"/>
        <v>нет</v>
      </c>
      <c r="H323" s="5" t="str">
        <f>""</f>
        <v/>
      </c>
      <c r="I323" s="5" t="str">
        <f>""</f>
        <v/>
      </c>
      <c r="J323" s="5" t="str">
        <f>""</f>
        <v/>
      </c>
      <c r="K323" s="5" t="str">
        <f t="shared" si="555"/>
        <v>нет</v>
      </c>
      <c r="L323" s="5" t="str">
        <f>""</f>
        <v/>
      </c>
      <c r="M323" s="5" t="str">
        <f>""</f>
        <v/>
      </c>
      <c r="N323" s="5" t="str">
        <f>""</f>
        <v/>
      </c>
      <c r="O323" s="8" t="str">
        <f t="shared" si="568"/>
        <v>х</v>
      </c>
      <c r="P323" s="5" t="str">
        <f t="shared" si="568"/>
        <v>х</v>
      </c>
      <c r="Q323" s="5" t="str">
        <f t="shared" si="568"/>
        <v>х</v>
      </c>
      <c r="R323" s="5" t="str">
        <f t="shared" si="568"/>
        <v>х</v>
      </c>
      <c r="S323" s="5" t="str">
        <f t="shared" si="568"/>
        <v>х</v>
      </c>
      <c r="T323" s="5" t="str">
        <f t="shared" si="568"/>
        <v>х</v>
      </c>
      <c r="U323" s="5" t="str">
        <f t="shared" si="568"/>
        <v>х</v>
      </c>
      <c r="V323" s="5" t="str">
        <f t="shared" si="568"/>
        <v>х</v>
      </c>
      <c r="W323" s="5" t="str">
        <f t="shared" si="568"/>
        <v>х</v>
      </c>
      <c r="X323" s="5" t="str">
        <f t="shared" si="568"/>
        <v>х</v>
      </c>
      <c r="Y323" s="9" t="str">
        <f t="shared" si="568"/>
        <v>х</v>
      </c>
      <c r="Z323" s="5" t="str">
        <f>""</f>
        <v/>
      </c>
      <c r="AA323" s="5" t="str">
        <f>"70,00"</f>
        <v>70,00</v>
      </c>
      <c r="AB323" s="5" t="str">
        <f>"2016"</f>
        <v>2016</v>
      </c>
      <c r="AC323" s="5" t="str">
        <f>"нет"</f>
        <v>нет</v>
      </c>
      <c r="AD323" s="5" t="str">
        <f>""</f>
        <v/>
      </c>
      <c r="AE323" s="5" t="str">
        <f>""</f>
        <v/>
      </c>
      <c r="AF323" s="5" t="str">
        <f>""</f>
        <v/>
      </c>
      <c r="AG323" s="5" t="str">
        <f>"нет"</f>
        <v>нет</v>
      </c>
      <c r="AH323" s="5" t="str">
        <f>""</f>
        <v/>
      </c>
      <c r="AI323" s="5" t="str">
        <f>""</f>
        <v/>
      </c>
      <c r="AJ323" s="5" t="str">
        <f>""</f>
        <v/>
      </c>
      <c r="AK323" s="8" t="str">
        <f t="shared" si="564"/>
        <v>х</v>
      </c>
      <c r="AL323" s="5" t="str">
        <f t="shared" si="564"/>
        <v>х</v>
      </c>
      <c r="AM323" s="5" t="str">
        <f t="shared" si="564"/>
        <v>х</v>
      </c>
      <c r="AN323" s="5" t="str">
        <f t="shared" si="564"/>
        <v>х</v>
      </c>
      <c r="AO323" s="5" t="str">
        <f t="shared" si="564"/>
        <v>х</v>
      </c>
      <c r="AP323" s="5" t="str">
        <f t="shared" si="564"/>
        <v>х</v>
      </c>
      <c r="AQ323" s="5" t="str">
        <f t="shared" si="564"/>
        <v>х</v>
      </c>
      <c r="AR323" s="5" t="str">
        <f t="shared" si="564"/>
        <v>х</v>
      </c>
      <c r="AS323" s="5" t="str">
        <f t="shared" si="564"/>
        <v>х</v>
      </c>
      <c r="AT323" s="5" t="str">
        <f t="shared" si="564"/>
        <v>х</v>
      </c>
      <c r="AU323" s="5" t="str">
        <f t="shared" si="565"/>
        <v>х</v>
      </c>
      <c r="AV323" s="5" t="str">
        <f t="shared" si="565"/>
        <v>х</v>
      </c>
      <c r="AW323" s="5" t="str">
        <f t="shared" si="565"/>
        <v>х</v>
      </c>
      <c r="AX323" s="5" t="str">
        <f t="shared" si="565"/>
        <v>х</v>
      </c>
      <c r="AY323" s="5" t="str">
        <f t="shared" si="565"/>
        <v>х</v>
      </c>
      <c r="AZ323" s="5" t="str">
        <f t="shared" si="565"/>
        <v>х</v>
      </c>
      <c r="BA323" s="5" t="str">
        <f t="shared" si="565"/>
        <v>х</v>
      </c>
      <c r="BB323" s="5" t="str">
        <f t="shared" si="565"/>
        <v>х</v>
      </c>
      <c r="BC323" s="5" t="str">
        <f t="shared" si="565"/>
        <v>х</v>
      </c>
      <c r="BD323" s="5" t="str">
        <f t="shared" si="565"/>
        <v>х</v>
      </c>
      <c r="BE323" s="5" t="str">
        <f t="shared" si="566"/>
        <v>х</v>
      </c>
      <c r="BF323" s="5" t="str">
        <f t="shared" si="566"/>
        <v>х</v>
      </c>
      <c r="BG323" s="5" t="str">
        <f t="shared" si="566"/>
        <v>х</v>
      </c>
      <c r="BH323" s="5" t="str">
        <f t="shared" si="566"/>
        <v>х</v>
      </c>
      <c r="BI323" s="5" t="str">
        <f t="shared" si="566"/>
        <v>х</v>
      </c>
      <c r="BJ323" s="5" t="str">
        <f t="shared" si="566"/>
        <v>х</v>
      </c>
      <c r="BK323" s="5" t="str">
        <f t="shared" si="566"/>
        <v>х</v>
      </c>
      <c r="BL323" s="5" t="str">
        <f t="shared" si="566"/>
        <v>х</v>
      </c>
      <c r="BM323" s="5" t="str">
        <f t="shared" si="566"/>
        <v>х</v>
      </c>
      <c r="BN323" s="5" t="str">
        <f t="shared" si="566"/>
        <v>х</v>
      </c>
      <c r="BO323" s="5" t="str">
        <f t="shared" si="566"/>
        <v>х</v>
      </c>
      <c r="BP323" s="5" t="str">
        <f t="shared" si="566"/>
        <v>х</v>
      </c>
      <c r="BQ323" s="5" t="str">
        <f t="shared" si="566"/>
        <v>х</v>
      </c>
      <c r="BR323" s="5" t="str">
        <f>""</f>
        <v/>
      </c>
      <c r="BS323" s="5" t="str">
        <f>"75,00"</f>
        <v>75,00</v>
      </c>
      <c r="BT323" s="5" t="str">
        <f>"2016"</f>
        <v>2016</v>
      </c>
      <c r="BU323" s="5" t="str">
        <f t="shared" si="518"/>
        <v>нет</v>
      </c>
      <c r="BV323" s="5" t="str">
        <f t="shared" si="563"/>
        <v>x</v>
      </c>
      <c r="BW323" s="5" t="str">
        <f t="shared" si="563"/>
        <v>x</v>
      </c>
      <c r="BX323" s="5" t="str">
        <f t="shared" si="563"/>
        <v>x</v>
      </c>
      <c r="BY323" s="5" t="str">
        <f t="shared" si="532"/>
        <v>нет</v>
      </c>
      <c r="BZ323" s="5" t="str">
        <f t="shared" si="567"/>
        <v>x</v>
      </c>
      <c r="CA323" s="5" t="str">
        <f t="shared" si="567"/>
        <v>x</v>
      </c>
      <c r="CB323" s="5" t="str">
        <f t="shared" si="567"/>
        <v>x</v>
      </c>
      <c r="CC323" s="5" t="str">
        <f>""</f>
        <v/>
      </c>
      <c r="CD323" s="5" t="str">
        <f>"75,00"</f>
        <v>75,00</v>
      </c>
      <c r="CE323" s="5" t="str">
        <f>"2016"</f>
        <v>2016</v>
      </c>
      <c r="CF323" s="5" t="str">
        <f>""</f>
        <v/>
      </c>
      <c r="CG323" s="5" t="str">
        <f>"75,00"</f>
        <v>75,00</v>
      </c>
      <c r="CH323" s="5" t="str">
        <f>"2019"</f>
        <v>2019</v>
      </c>
      <c r="CI323" s="5" t="str">
        <f>"80,00"</f>
        <v>80,00</v>
      </c>
      <c r="CJ323" s="5" t="str">
        <f>"2024"</f>
        <v>2024</v>
      </c>
    </row>
    <row r="324" spans="1:88" ht="11.25" customHeight="1">
      <c r="A324" s="3" t="str">
        <f>"1.311"</f>
        <v>1.311</v>
      </c>
      <c r="B324" s="4" t="str">
        <f>"д. Большое Косиково, д.13"</f>
        <v>д. Большое Косиково, д.13</v>
      </c>
      <c r="C324" s="7" t="str">
        <f>"1983"</f>
        <v>1983</v>
      </c>
      <c r="D324" s="5" t="str">
        <f t="shared" ref="D324:N325" si="569">"х"</f>
        <v>х</v>
      </c>
      <c r="E324" s="5" t="str">
        <f t="shared" si="569"/>
        <v>х</v>
      </c>
      <c r="F324" s="5" t="str">
        <f t="shared" si="569"/>
        <v>х</v>
      </c>
      <c r="G324" s="5" t="str">
        <f t="shared" si="569"/>
        <v>х</v>
      </c>
      <c r="H324" s="5" t="str">
        <f t="shared" si="569"/>
        <v>х</v>
      </c>
      <c r="I324" s="5" t="str">
        <f t="shared" si="569"/>
        <v>х</v>
      </c>
      <c r="J324" s="5" t="str">
        <f t="shared" si="569"/>
        <v>х</v>
      </c>
      <c r="K324" s="5" t="str">
        <f t="shared" si="569"/>
        <v>х</v>
      </c>
      <c r="L324" s="5" t="str">
        <f t="shared" si="569"/>
        <v>х</v>
      </c>
      <c r="M324" s="5" t="str">
        <f t="shared" si="569"/>
        <v>х</v>
      </c>
      <c r="N324" s="5" t="str">
        <f t="shared" si="569"/>
        <v>х</v>
      </c>
      <c r="O324" s="8" t="str">
        <f>""</f>
        <v/>
      </c>
      <c r="P324" s="5" t="str">
        <f>""</f>
        <v/>
      </c>
      <c r="Q324" s="5" t="str">
        <f>""</f>
        <v/>
      </c>
      <c r="R324" s="5" t="str">
        <f>""</f>
        <v/>
      </c>
      <c r="S324" s="5" t="str">
        <f>""</f>
        <v/>
      </c>
      <c r="T324" s="5" t="str">
        <f>""</f>
        <v/>
      </c>
      <c r="U324" s="5" t="str">
        <f>""</f>
        <v/>
      </c>
      <c r="V324" s="5" t="str">
        <f>""</f>
        <v/>
      </c>
      <c r="W324" s="5" t="str">
        <f>""</f>
        <v/>
      </c>
      <c r="X324" s="5" t="str">
        <f>""</f>
        <v/>
      </c>
      <c r="Y324" s="9" t="str">
        <f>""</f>
        <v/>
      </c>
      <c r="Z324" s="5" t="str">
        <f t="shared" ref="Z324:AJ325" si="570">"х"</f>
        <v>х</v>
      </c>
      <c r="AA324" s="5" t="str">
        <f t="shared" si="570"/>
        <v>х</v>
      </c>
      <c r="AB324" s="5" t="str">
        <f t="shared" si="570"/>
        <v>х</v>
      </c>
      <c r="AC324" s="5" t="str">
        <f t="shared" si="570"/>
        <v>х</v>
      </c>
      <c r="AD324" s="5" t="str">
        <f t="shared" si="570"/>
        <v>х</v>
      </c>
      <c r="AE324" s="5" t="str">
        <f t="shared" si="570"/>
        <v>х</v>
      </c>
      <c r="AF324" s="5" t="str">
        <f t="shared" si="570"/>
        <v>х</v>
      </c>
      <c r="AG324" s="5" t="str">
        <f t="shared" si="570"/>
        <v>х</v>
      </c>
      <c r="AH324" s="5" t="str">
        <f t="shared" si="570"/>
        <v>х</v>
      </c>
      <c r="AI324" s="5" t="str">
        <f t="shared" si="570"/>
        <v>х</v>
      </c>
      <c r="AJ324" s="5" t="str">
        <f t="shared" si="570"/>
        <v>х</v>
      </c>
      <c r="AK324" s="8" t="str">
        <f t="shared" si="564"/>
        <v>х</v>
      </c>
      <c r="AL324" s="5" t="str">
        <f t="shared" si="564"/>
        <v>х</v>
      </c>
      <c r="AM324" s="5" t="str">
        <f t="shared" si="564"/>
        <v>х</v>
      </c>
      <c r="AN324" s="5" t="str">
        <f t="shared" si="564"/>
        <v>х</v>
      </c>
      <c r="AO324" s="5" t="str">
        <f t="shared" si="564"/>
        <v>х</v>
      </c>
      <c r="AP324" s="5" t="str">
        <f t="shared" si="564"/>
        <v>х</v>
      </c>
      <c r="AQ324" s="5" t="str">
        <f t="shared" si="564"/>
        <v>х</v>
      </c>
      <c r="AR324" s="5" t="str">
        <f t="shared" si="564"/>
        <v>х</v>
      </c>
      <c r="AS324" s="5" t="str">
        <f t="shared" si="564"/>
        <v>х</v>
      </c>
      <c r="AT324" s="5" t="str">
        <f t="shared" si="564"/>
        <v>х</v>
      </c>
      <c r="AU324" s="5" t="str">
        <f t="shared" si="565"/>
        <v>х</v>
      </c>
      <c r="AV324" s="5" t="str">
        <f t="shared" si="565"/>
        <v>х</v>
      </c>
      <c r="AW324" s="5" t="str">
        <f t="shared" si="565"/>
        <v>х</v>
      </c>
      <c r="AX324" s="5" t="str">
        <f t="shared" si="565"/>
        <v>х</v>
      </c>
      <c r="AY324" s="5" t="str">
        <f t="shared" si="565"/>
        <v>х</v>
      </c>
      <c r="AZ324" s="5" t="str">
        <f t="shared" si="565"/>
        <v>х</v>
      </c>
      <c r="BA324" s="5" t="str">
        <f t="shared" si="565"/>
        <v>х</v>
      </c>
      <c r="BB324" s="5" t="str">
        <f t="shared" si="565"/>
        <v>х</v>
      </c>
      <c r="BC324" s="5" t="str">
        <f t="shared" si="565"/>
        <v>х</v>
      </c>
      <c r="BD324" s="5" t="str">
        <f t="shared" si="565"/>
        <v>х</v>
      </c>
      <c r="BE324" s="5" t="str">
        <f t="shared" si="566"/>
        <v>х</v>
      </c>
      <c r="BF324" s="5" t="str">
        <f t="shared" si="566"/>
        <v>х</v>
      </c>
      <c r="BG324" s="5" t="str">
        <f t="shared" si="566"/>
        <v>х</v>
      </c>
      <c r="BH324" s="5" t="str">
        <f t="shared" si="566"/>
        <v>х</v>
      </c>
      <c r="BI324" s="5" t="str">
        <f t="shared" si="566"/>
        <v>х</v>
      </c>
      <c r="BJ324" s="5" t="str">
        <f t="shared" si="566"/>
        <v>х</v>
      </c>
      <c r="BK324" s="5" t="str">
        <f t="shared" si="566"/>
        <v>х</v>
      </c>
      <c r="BL324" s="5" t="str">
        <f t="shared" si="566"/>
        <v>х</v>
      </c>
      <c r="BM324" s="5" t="str">
        <f t="shared" si="566"/>
        <v>х</v>
      </c>
      <c r="BN324" s="5" t="str">
        <f t="shared" si="566"/>
        <v>х</v>
      </c>
      <c r="BO324" s="5" t="str">
        <f t="shared" si="566"/>
        <v>х</v>
      </c>
      <c r="BP324" s="5" t="str">
        <f t="shared" si="566"/>
        <v>х</v>
      </c>
      <c r="BQ324" s="5" t="str">
        <f t="shared" si="566"/>
        <v>х</v>
      </c>
      <c r="BR324" s="5" t="str">
        <f>""</f>
        <v/>
      </c>
      <c r="BS324" s="5" t="str">
        <f>"65,00"</f>
        <v>65,00</v>
      </c>
      <c r="BT324" s="5" t="str">
        <f>"2017"</f>
        <v>2017</v>
      </c>
      <c r="BU324" s="5" t="str">
        <f t="shared" si="518"/>
        <v>нет</v>
      </c>
      <c r="BV324" s="5" t="str">
        <f t="shared" si="563"/>
        <v>x</v>
      </c>
      <c r="BW324" s="5" t="str">
        <f t="shared" si="563"/>
        <v>x</v>
      </c>
      <c r="BX324" s="5" t="str">
        <f t="shared" si="563"/>
        <v>x</v>
      </c>
      <c r="BY324" s="5" t="str">
        <f t="shared" si="532"/>
        <v>нет</v>
      </c>
      <c r="BZ324" s="5" t="str">
        <f t="shared" si="567"/>
        <v>x</v>
      </c>
      <c r="CA324" s="5" t="str">
        <f t="shared" si="567"/>
        <v>x</v>
      </c>
      <c r="CB324" s="5" t="str">
        <f t="shared" si="567"/>
        <v>x</v>
      </c>
      <c r="CC324" s="5" t="str">
        <f>""</f>
        <v/>
      </c>
      <c r="CD324" s="5" t="str">
        <f>"65,00"</f>
        <v>65,00</v>
      </c>
      <c r="CE324" s="5" t="str">
        <f>"2017"</f>
        <v>2017</v>
      </c>
      <c r="CF324" s="5" t="str">
        <f>""</f>
        <v/>
      </c>
      <c r="CG324" s="5" t="str">
        <f>"65,00"</f>
        <v>65,00</v>
      </c>
      <c r="CH324" s="5" t="str">
        <f>"2017"</f>
        <v>2017</v>
      </c>
      <c r="CI324" s="5" t="str">
        <f>"65,00"</f>
        <v>65,00</v>
      </c>
      <c r="CJ324" s="5" t="str">
        <f>"2030"</f>
        <v>2030</v>
      </c>
    </row>
    <row r="325" spans="1:88" ht="11.25" customHeight="1">
      <c r="A325" s="3" t="str">
        <f>"1.312"</f>
        <v>1.312</v>
      </c>
      <c r="B325" s="4" t="str">
        <f>"д. Большое Косиково, д.14"</f>
        <v>д. Большое Косиково, д.14</v>
      </c>
      <c r="C325" s="7" t="str">
        <f>"1982"</f>
        <v>1982</v>
      </c>
      <c r="D325" s="5" t="str">
        <f t="shared" si="569"/>
        <v>х</v>
      </c>
      <c r="E325" s="5" t="str">
        <f t="shared" si="569"/>
        <v>х</v>
      </c>
      <c r="F325" s="5" t="str">
        <f t="shared" si="569"/>
        <v>х</v>
      </c>
      <c r="G325" s="5" t="str">
        <f t="shared" si="569"/>
        <v>х</v>
      </c>
      <c r="H325" s="5" t="str">
        <f t="shared" si="569"/>
        <v>х</v>
      </c>
      <c r="I325" s="5" t="str">
        <f t="shared" si="569"/>
        <v>х</v>
      </c>
      <c r="J325" s="5" t="str">
        <f t="shared" si="569"/>
        <v>х</v>
      </c>
      <c r="K325" s="5" t="str">
        <f t="shared" si="569"/>
        <v>х</v>
      </c>
      <c r="L325" s="5" t="str">
        <f t="shared" si="569"/>
        <v>х</v>
      </c>
      <c r="M325" s="5" t="str">
        <f t="shared" si="569"/>
        <v>х</v>
      </c>
      <c r="N325" s="5" t="str">
        <f t="shared" si="569"/>
        <v>х</v>
      </c>
      <c r="O325" s="8" t="str">
        <f>""</f>
        <v/>
      </c>
      <c r="P325" s="5" t="str">
        <f>""</f>
        <v/>
      </c>
      <c r="Q325" s="5" t="str">
        <f>""</f>
        <v/>
      </c>
      <c r="R325" s="5" t="str">
        <f>""</f>
        <v/>
      </c>
      <c r="S325" s="5" t="str">
        <f>""</f>
        <v/>
      </c>
      <c r="T325" s="5" t="str">
        <f>""</f>
        <v/>
      </c>
      <c r="U325" s="5" t="str">
        <f>""</f>
        <v/>
      </c>
      <c r="V325" s="5" t="str">
        <f>""</f>
        <v/>
      </c>
      <c r="W325" s="5" t="str">
        <f>""</f>
        <v/>
      </c>
      <c r="X325" s="5" t="str">
        <f>""</f>
        <v/>
      </c>
      <c r="Y325" s="9" t="str">
        <f>""</f>
        <v/>
      </c>
      <c r="Z325" s="5" t="str">
        <f t="shared" si="570"/>
        <v>х</v>
      </c>
      <c r="AA325" s="5" t="str">
        <f t="shared" si="570"/>
        <v>х</v>
      </c>
      <c r="AB325" s="5" t="str">
        <f t="shared" si="570"/>
        <v>х</v>
      </c>
      <c r="AC325" s="5" t="str">
        <f t="shared" si="570"/>
        <v>х</v>
      </c>
      <c r="AD325" s="5" t="str">
        <f t="shared" si="570"/>
        <v>х</v>
      </c>
      <c r="AE325" s="5" t="str">
        <f t="shared" si="570"/>
        <v>х</v>
      </c>
      <c r="AF325" s="5" t="str">
        <f t="shared" si="570"/>
        <v>х</v>
      </c>
      <c r="AG325" s="5" t="str">
        <f t="shared" si="570"/>
        <v>х</v>
      </c>
      <c r="AH325" s="5" t="str">
        <f t="shared" si="570"/>
        <v>х</v>
      </c>
      <c r="AI325" s="5" t="str">
        <f t="shared" si="570"/>
        <v>х</v>
      </c>
      <c r="AJ325" s="5" t="str">
        <f t="shared" si="570"/>
        <v>х</v>
      </c>
      <c r="AK325" s="8" t="str">
        <f t="shared" si="564"/>
        <v>х</v>
      </c>
      <c r="AL325" s="5" t="str">
        <f t="shared" si="564"/>
        <v>х</v>
      </c>
      <c r="AM325" s="5" t="str">
        <f t="shared" si="564"/>
        <v>х</v>
      </c>
      <c r="AN325" s="5" t="str">
        <f t="shared" si="564"/>
        <v>х</v>
      </c>
      <c r="AO325" s="5" t="str">
        <f t="shared" si="564"/>
        <v>х</v>
      </c>
      <c r="AP325" s="5" t="str">
        <f t="shared" si="564"/>
        <v>х</v>
      </c>
      <c r="AQ325" s="5" t="str">
        <f t="shared" si="564"/>
        <v>х</v>
      </c>
      <c r="AR325" s="5" t="str">
        <f t="shared" si="564"/>
        <v>х</v>
      </c>
      <c r="AS325" s="5" t="str">
        <f t="shared" si="564"/>
        <v>х</v>
      </c>
      <c r="AT325" s="5" t="str">
        <f t="shared" si="564"/>
        <v>х</v>
      </c>
      <c r="AU325" s="5" t="str">
        <f t="shared" si="565"/>
        <v>х</v>
      </c>
      <c r="AV325" s="5" t="str">
        <f t="shared" si="565"/>
        <v>х</v>
      </c>
      <c r="AW325" s="5" t="str">
        <f t="shared" si="565"/>
        <v>х</v>
      </c>
      <c r="AX325" s="5" t="str">
        <f t="shared" si="565"/>
        <v>х</v>
      </c>
      <c r="AY325" s="5" t="str">
        <f t="shared" si="565"/>
        <v>х</v>
      </c>
      <c r="AZ325" s="5" t="str">
        <f t="shared" si="565"/>
        <v>х</v>
      </c>
      <c r="BA325" s="5" t="str">
        <f t="shared" si="565"/>
        <v>х</v>
      </c>
      <c r="BB325" s="5" t="str">
        <f t="shared" si="565"/>
        <v>х</v>
      </c>
      <c r="BC325" s="5" t="str">
        <f t="shared" si="565"/>
        <v>х</v>
      </c>
      <c r="BD325" s="5" t="str">
        <f t="shared" si="565"/>
        <v>х</v>
      </c>
      <c r="BE325" s="5" t="str">
        <f t="shared" si="566"/>
        <v>х</v>
      </c>
      <c r="BF325" s="5" t="str">
        <f t="shared" si="566"/>
        <v>х</v>
      </c>
      <c r="BG325" s="5" t="str">
        <f t="shared" si="566"/>
        <v>х</v>
      </c>
      <c r="BH325" s="5" t="str">
        <f t="shared" si="566"/>
        <v>х</v>
      </c>
      <c r="BI325" s="5" t="str">
        <f t="shared" si="566"/>
        <v>х</v>
      </c>
      <c r="BJ325" s="5" t="str">
        <f t="shared" si="566"/>
        <v>х</v>
      </c>
      <c r="BK325" s="5" t="str">
        <f t="shared" si="566"/>
        <v>х</v>
      </c>
      <c r="BL325" s="5" t="str">
        <f t="shared" si="566"/>
        <v>х</v>
      </c>
      <c r="BM325" s="5" t="str">
        <f t="shared" si="566"/>
        <v>х</v>
      </c>
      <c r="BN325" s="5" t="str">
        <f t="shared" si="566"/>
        <v>х</v>
      </c>
      <c r="BO325" s="5" t="str">
        <f t="shared" si="566"/>
        <v>х</v>
      </c>
      <c r="BP325" s="5" t="str">
        <f t="shared" si="566"/>
        <v>х</v>
      </c>
      <c r="BQ325" s="5" t="str">
        <f t="shared" si="566"/>
        <v>х</v>
      </c>
      <c r="BR325" s="5" t="str">
        <f>""</f>
        <v/>
      </c>
      <c r="BS325" s="5" t="str">
        <f>"65,00"</f>
        <v>65,00</v>
      </c>
      <c r="BT325" s="5" t="str">
        <f>"2017"</f>
        <v>2017</v>
      </c>
      <c r="BU325" s="5" t="str">
        <f t="shared" si="518"/>
        <v>нет</v>
      </c>
      <c r="BV325" s="5" t="str">
        <f t="shared" si="563"/>
        <v>x</v>
      </c>
      <c r="BW325" s="5" t="str">
        <f t="shared" si="563"/>
        <v>x</v>
      </c>
      <c r="BX325" s="5" t="str">
        <f t="shared" si="563"/>
        <v>x</v>
      </c>
      <c r="BY325" s="5" t="str">
        <f t="shared" si="532"/>
        <v>нет</v>
      </c>
      <c r="BZ325" s="5" t="str">
        <f t="shared" si="567"/>
        <v>x</v>
      </c>
      <c r="CA325" s="5" t="str">
        <f t="shared" si="567"/>
        <v>x</v>
      </c>
      <c r="CB325" s="5" t="str">
        <f t="shared" si="567"/>
        <v>x</v>
      </c>
      <c r="CC325" s="5" t="str">
        <f>""</f>
        <v/>
      </c>
      <c r="CD325" s="5" t="str">
        <f>"65,00"</f>
        <v>65,00</v>
      </c>
      <c r="CE325" s="5" t="str">
        <f>"2017"</f>
        <v>2017</v>
      </c>
      <c r="CF325" s="5" t="str">
        <f>""</f>
        <v/>
      </c>
      <c r="CG325" s="5" t="str">
        <f>"65,00"</f>
        <v>65,00</v>
      </c>
      <c r="CH325" s="5" t="str">
        <f>"2017"</f>
        <v>2017</v>
      </c>
      <c r="CI325" s="5" t="str">
        <f>"65,00"</f>
        <v>65,00</v>
      </c>
      <c r="CJ325" s="5" t="str">
        <f>"2031"</f>
        <v>2031</v>
      </c>
    </row>
    <row r="326" spans="1:88" ht="11.25" customHeight="1">
      <c r="A326" s="3" t="str">
        <f>"1.313"</f>
        <v>1.313</v>
      </c>
      <c r="B326" s="4" t="str">
        <f>"д. Вараксино, д.63"</f>
        <v>д. Вараксино, д.63</v>
      </c>
      <c r="C326" s="7" t="str">
        <f>"1988"</f>
        <v>1988</v>
      </c>
      <c r="D326" s="5" t="str">
        <f>""</f>
        <v/>
      </c>
      <c r="E326" s="5" t="str">
        <f>"50,00"</f>
        <v>50,00</v>
      </c>
      <c r="F326" s="5" t="str">
        <f>"2017"</f>
        <v>2017</v>
      </c>
      <c r="G326" s="5" t="str">
        <f t="shared" ref="G326:G331" si="571">"нет"</f>
        <v>нет</v>
      </c>
      <c r="H326" s="5" t="str">
        <f>""</f>
        <v/>
      </c>
      <c r="I326" s="5" t="str">
        <f>""</f>
        <v/>
      </c>
      <c r="J326" s="5" t="str">
        <f>""</f>
        <v/>
      </c>
      <c r="K326" s="5" t="str">
        <f t="shared" ref="K326:K331" si="572">"нет"</f>
        <v>нет</v>
      </c>
      <c r="L326" s="5" t="str">
        <f>""</f>
        <v/>
      </c>
      <c r="M326" s="5" t="str">
        <f>""</f>
        <v/>
      </c>
      <c r="N326" s="5" t="str">
        <f>""</f>
        <v/>
      </c>
      <c r="O326" s="8" t="str">
        <f>""</f>
        <v/>
      </c>
      <c r="P326" s="5" t="str">
        <f>"40,00"</f>
        <v>40,00</v>
      </c>
      <c r="Q326" s="5" t="str">
        <f>"2019"</f>
        <v>2019</v>
      </c>
      <c r="R326" s="5" t="str">
        <f>"нет"</f>
        <v>нет</v>
      </c>
      <c r="S326" s="5" t="str">
        <f>""</f>
        <v/>
      </c>
      <c r="T326" s="5" t="str">
        <f>""</f>
        <v/>
      </c>
      <c r="U326" s="5" t="str">
        <f>""</f>
        <v/>
      </c>
      <c r="V326" s="5" t="str">
        <f>"нет"</f>
        <v>нет</v>
      </c>
      <c r="W326" s="5" t="str">
        <f>""</f>
        <v/>
      </c>
      <c r="X326" s="5" t="str">
        <f>""</f>
        <v/>
      </c>
      <c r="Y326" s="9" t="str">
        <f>""</f>
        <v/>
      </c>
      <c r="Z326" s="5" t="str">
        <f>""</f>
        <v/>
      </c>
      <c r="AA326" s="5" t="str">
        <f>"40,00"</f>
        <v>40,00</v>
      </c>
      <c r="AB326" s="5" t="str">
        <f>"2020"</f>
        <v>2020</v>
      </c>
      <c r="AC326" s="5" t="str">
        <f>"нет"</f>
        <v>нет</v>
      </c>
      <c r="AD326" s="5" t="str">
        <f>""</f>
        <v/>
      </c>
      <c r="AE326" s="5" t="str">
        <f>""</f>
        <v/>
      </c>
      <c r="AF326" s="5" t="str">
        <f>""</f>
        <v/>
      </c>
      <c r="AG326" s="5" t="str">
        <f>"нет"</f>
        <v>нет</v>
      </c>
      <c r="AH326" s="5" t="str">
        <f>""</f>
        <v/>
      </c>
      <c r="AI326" s="5" t="str">
        <f>""</f>
        <v/>
      </c>
      <c r="AJ326" s="5" t="str">
        <f>""</f>
        <v/>
      </c>
      <c r="AK326" s="8" t="str">
        <f>""</f>
        <v/>
      </c>
      <c r="AL326" s="5" t="str">
        <f>"60,00"</f>
        <v>60,00</v>
      </c>
      <c r="AM326" s="5" t="str">
        <f>"2019"</f>
        <v>2019</v>
      </c>
      <c r="AN326" s="5" t="str">
        <f>"нет"</f>
        <v>нет</v>
      </c>
      <c r="AO326" s="5" t="str">
        <f>""</f>
        <v/>
      </c>
      <c r="AP326" s="5" t="str">
        <f>""</f>
        <v/>
      </c>
      <c r="AQ326" s="5" t="str">
        <f>""</f>
        <v/>
      </c>
      <c r="AR326" s="5" t="str">
        <f>"нет"</f>
        <v>нет</v>
      </c>
      <c r="AS326" s="5" t="str">
        <f>""</f>
        <v/>
      </c>
      <c r="AT326" s="5" t="str">
        <f>""</f>
        <v/>
      </c>
      <c r="AU326" s="5" t="str">
        <f>""</f>
        <v/>
      </c>
      <c r="AV326" s="5" t="str">
        <f>""</f>
        <v/>
      </c>
      <c r="AW326" s="5" t="str">
        <f>"68,00"</f>
        <v>68,00</v>
      </c>
      <c r="AX326" s="5" t="str">
        <f>"2019"</f>
        <v>2019</v>
      </c>
      <c r="AY326" s="5" t="str">
        <f>"нет"</f>
        <v>нет</v>
      </c>
      <c r="AZ326" s="5" t="str">
        <f>""</f>
        <v/>
      </c>
      <c r="BA326" s="5" t="str">
        <f>""</f>
        <v/>
      </c>
      <c r="BB326" s="5" t="str">
        <f>""</f>
        <v/>
      </c>
      <c r="BC326" s="5" t="str">
        <f>"нет"</f>
        <v>нет</v>
      </c>
      <c r="BD326" s="5" t="str">
        <f>""</f>
        <v/>
      </c>
      <c r="BE326" s="5" t="str">
        <f>""</f>
        <v/>
      </c>
      <c r="BF326" s="5" t="str">
        <f>""</f>
        <v/>
      </c>
      <c r="BG326" s="5" t="str">
        <f>""</f>
        <v/>
      </c>
      <c r="BH326" s="5" t="str">
        <f>"60,00"</f>
        <v>60,00</v>
      </c>
      <c r="BI326" s="5" t="str">
        <f>"2019"</f>
        <v>2019</v>
      </c>
      <c r="BJ326" s="5" t="str">
        <f>"нет"</f>
        <v>нет</v>
      </c>
      <c r="BK326" s="5" t="str">
        <f>""</f>
        <v/>
      </c>
      <c r="BL326" s="5" t="str">
        <f>""</f>
        <v/>
      </c>
      <c r="BM326" s="5" t="str">
        <f>""</f>
        <v/>
      </c>
      <c r="BN326" s="5" t="str">
        <f>"нет"</f>
        <v>нет</v>
      </c>
      <c r="BO326" s="5" t="str">
        <f>""</f>
        <v/>
      </c>
      <c r="BP326" s="5" t="str">
        <f>""</f>
        <v/>
      </c>
      <c r="BQ326" s="5" t="str">
        <f>""</f>
        <v/>
      </c>
      <c r="BR326" s="5" t="str">
        <f>"2010"</f>
        <v>2010</v>
      </c>
      <c r="BS326" s="5" t="str">
        <f>"20,00"</f>
        <v>20,00</v>
      </c>
      <c r="BT326" s="5" t="str">
        <f>"2030"</f>
        <v>2030</v>
      </c>
      <c r="BU326" s="5" t="str">
        <f t="shared" si="518"/>
        <v>нет</v>
      </c>
      <c r="BV326" s="5" t="str">
        <f t="shared" si="563"/>
        <v>x</v>
      </c>
      <c r="BW326" s="5" t="str">
        <f t="shared" si="563"/>
        <v>x</v>
      </c>
      <c r="BX326" s="5" t="str">
        <f t="shared" si="563"/>
        <v>x</v>
      </c>
      <c r="BY326" s="5" t="str">
        <f t="shared" si="532"/>
        <v>нет</v>
      </c>
      <c r="BZ326" s="5" t="str">
        <f>"x"</f>
        <v>x</v>
      </c>
      <c r="CA326" s="5" t="str">
        <f>"40,00"</f>
        <v>40,00</v>
      </c>
      <c r="CB326" s="5" t="str">
        <f>"2020"</f>
        <v>2020</v>
      </c>
      <c r="CC326" s="5" t="str">
        <f>""</f>
        <v/>
      </c>
      <c r="CD326" s="5" t="str">
        <f>"30,00"</f>
        <v>30,00</v>
      </c>
      <c r="CE326" s="5" t="str">
        <f>"2025"</f>
        <v>2025</v>
      </c>
      <c r="CF326" s="5" t="str">
        <f>""</f>
        <v/>
      </c>
      <c r="CG326" s="5" t="str">
        <f>"30,00"</f>
        <v>30,00</v>
      </c>
      <c r="CH326" s="5" t="str">
        <f>"2021"</f>
        <v>2021</v>
      </c>
      <c r="CI326" s="5" t="str">
        <f>"20,00"</f>
        <v>20,00</v>
      </c>
      <c r="CJ326" s="5" t="str">
        <f>"2033"</f>
        <v>2033</v>
      </c>
    </row>
    <row r="327" spans="1:88" ht="11.25" customHeight="1">
      <c r="A327" s="3" t="str">
        <f>"1.314"</f>
        <v>1.314</v>
      </c>
      <c r="B327" s="4" t="str">
        <f>"д. Вараксино, д.64"</f>
        <v>д. Вараксино, д.64</v>
      </c>
      <c r="C327" s="7" t="str">
        <f>"1989"</f>
        <v>1989</v>
      </c>
      <c r="D327" s="5" t="str">
        <f>""</f>
        <v/>
      </c>
      <c r="E327" s="5" t="str">
        <f>"60,00"</f>
        <v>60,00</v>
      </c>
      <c r="F327" s="5" t="str">
        <f>"2018"</f>
        <v>2018</v>
      </c>
      <c r="G327" s="5" t="str">
        <f t="shared" si="571"/>
        <v>нет</v>
      </c>
      <c r="H327" s="5" t="str">
        <f>""</f>
        <v/>
      </c>
      <c r="I327" s="5" t="str">
        <f>""</f>
        <v/>
      </c>
      <c r="J327" s="5" t="str">
        <f>""</f>
        <v/>
      </c>
      <c r="K327" s="5" t="str">
        <f t="shared" si="572"/>
        <v>нет</v>
      </c>
      <c r="L327" s="5" t="str">
        <f>""</f>
        <v/>
      </c>
      <c r="M327" s="5" t="str">
        <f>""</f>
        <v/>
      </c>
      <c r="N327" s="5" t="str">
        <f>""</f>
        <v/>
      </c>
      <c r="O327" s="8" t="str">
        <f>""</f>
        <v/>
      </c>
      <c r="P327" s="5" t="str">
        <f>"50,00"</f>
        <v>50,00</v>
      </c>
      <c r="Q327" s="5" t="str">
        <f>"2019"</f>
        <v>2019</v>
      </c>
      <c r="R327" s="5" t="str">
        <f>"нет"</f>
        <v>нет</v>
      </c>
      <c r="S327" s="5" t="str">
        <f>""</f>
        <v/>
      </c>
      <c r="T327" s="5" t="str">
        <f>""</f>
        <v/>
      </c>
      <c r="U327" s="5" t="str">
        <f>""</f>
        <v/>
      </c>
      <c r="V327" s="5" t="str">
        <f>"нет"</f>
        <v>нет</v>
      </c>
      <c r="W327" s="5" t="str">
        <f>""</f>
        <v/>
      </c>
      <c r="X327" s="5" t="str">
        <f>""</f>
        <v/>
      </c>
      <c r="Y327" s="9" t="str">
        <f>""</f>
        <v/>
      </c>
      <c r="Z327" s="5" t="str">
        <f>""</f>
        <v/>
      </c>
      <c r="AA327" s="5" t="str">
        <f>"30,00"</f>
        <v>30,00</v>
      </c>
      <c r="AB327" s="5" t="str">
        <f>"2025"</f>
        <v>2025</v>
      </c>
      <c r="AC327" s="5" t="str">
        <f>"нет"</f>
        <v>нет</v>
      </c>
      <c r="AD327" s="5" t="str">
        <f>""</f>
        <v/>
      </c>
      <c r="AE327" s="5" t="str">
        <f>""</f>
        <v/>
      </c>
      <c r="AF327" s="5" t="str">
        <f>""</f>
        <v/>
      </c>
      <c r="AG327" s="5" t="str">
        <f>"нет"</f>
        <v>нет</v>
      </c>
      <c r="AH327" s="5" t="str">
        <f>""</f>
        <v/>
      </c>
      <c r="AI327" s="5" t="str">
        <f>""</f>
        <v/>
      </c>
      <c r="AJ327" s="5" t="str">
        <f>""</f>
        <v/>
      </c>
      <c r="AK327" s="8" t="str">
        <f>""</f>
        <v/>
      </c>
      <c r="AL327" s="5" t="str">
        <f>"60,00"</f>
        <v>60,00</v>
      </c>
      <c r="AM327" s="5" t="str">
        <f>"2019"</f>
        <v>2019</v>
      </c>
      <c r="AN327" s="5" t="str">
        <f>"нет"</f>
        <v>нет</v>
      </c>
      <c r="AO327" s="5" t="str">
        <f>""</f>
        <v/>
      </c>
      <c r="AP327" s="5" t="str">
        <f>""</f>
        <v/>
      </c>
      <c r="AQ327" s="5" t="str">
        <f>""</f>
        <v/>
      </c>
      <c r="AR327" s="5" t="str">
        <f>"нет"</f>
        <v>нет</v>
      </c>
      <c r="AS327" s="5" t="str">
        <f>""</f>
        <v/>
      </c>
      <c r="AT327" s="5" t="str">
        <f>""</f>
        <v/>
      </c>
      <c r="AU327" s="5" t="str">
        <f>""</f>
        <v/>
      </c>
      <c r="AV327" s="5" t="str">
        <f>""</f>
        <v/>
      </c>
      <c r="AW327" s="5" t="str">
        <f>"60,00"</f>
        <v>60,00</v>
      </c>
      <c r="AX327" s="5" t="str">
        <f>"2019"</f>
        <v>2019</v>
      </c>
      <c r="AY327" s="5" t="str">
        <f>"нет"</f>
        <v>нет</v>
      </c>
      <c r="AZ327" s="5" t="str">
        <f>""</f>
        <v/>
      </c>
      <c r="BA327" s="5" t="str">
        <f>""</f>
        <v/>
      </c>
      <c r="BB327" s="5" t="str">
        <f>""</f>
        <v/>
      </c>
      <c r="BC327" s="5" t="str">
        <f>"нет"</f>
        <v>нет</v>
      </c>
      <c r="BD327" s="5" t="str">
        <f>""</f>
        <v/>
      </c>
      <c r="BE327" s="5" t="str">
        <f>""</f>
        <v/>
      </c>
      <c r="BF327" s="5" t="str">
        <f>""</f>
        <v/>
      </c>
      <c r="BG327" s="5" t="str">
        <f>""</f>
        <v/>
      </c>
      <c r="BH327" s="5" t="str">
        <f>"20,00"</f>
        <v>20,00</v>
      </c>
      <c r="BI327" s="5" t="str">
        <f>"2019"</f>
        <v>2019</v>
      </c>
      <c r="BJ327" s="5" t="str">
        <f>"нет"</f>
        <v>нет</v>
      </c>
      <c r="BK327" s="5" t="str">
        <f>""</f>
        <v/>
      </c>
      <c r="BL327" s="5" t="str">
        <f>""</f>
        <v/>
      </c>
      <c r="BM327" s="5" t="str">
        <f>""</f>
        <v/>
      </c>
      <c r="BN327" s="5" t="str">
        <f>"нет"</f>
        <v>нет</v>
      </c>
      <c r="BO327" s="5" t="str">
        <f>""</f>
        <v/>
      </c>
      <c r="BP327" s="5" t="str">
        <f>""</f>
        <v/>
      </c>
      <c r="BQ327" s="5" t="str">
        <f>""</f>
        <v/>
      </c>
      <c r="BR327" s="5" t="str">
        <f>"2010"</f>
        <v>2010</v>
      </c>
      <c r="BS327" s="5" t="str">
        <f>"20,00"</f>
        <v>20,00</v>
      </c>
      <c r="BT327" s="5" t="str">
        <f>"2027"</f>
        <v>2027</v>
      </c>
      <c r="BU327" s="5" t="str">
        <f t="shared" si="518"/>
        <v>нет</v>
      </c>
      <c r="BV327" s="5" t="str">
        <f t="shared" si="563"/>
        <v>x</v>
      </c>
      <c r="BW327" s="5" t="str">
        <f t="shared" si="563"/>
        <v>x</v>
      </c>
      <c r="BX327" s="5" t="str">
        <f t="shared" si="563"/>
        <v>x</v>
      </c>
      <c r="BY327" s="5" t="str">
        <f t="shared" si="532"/>
        <v>нет</v>
      </c>
      <c r="BZ327" s="5" t="str">
        <f>"x"</f>
        <v>x</v>
      </c>
      <c r="CA327" s="5" t="str">
        <f>"40,00"</f>
        <v>40,00</v>
      </c>
      <c r="CB327" s="5" t="str">
        <f>"2020"</f>
        <v>2020</v>
      </c>
      <c r="CC327" s="5" t="str">
        <f>""</f>
        <v/>
      </c>
      <c r="CD327" s="5" t="str">
        <f>"40,00"</f>
        <v>40,00</v>
      </c>
      <c r="CE327" s="5" t="str">
        <f>"2028"</f>
        <v>2028</v>
      </c>
      <c r="CF327" s="5" t="str">
        <f>""</f>
        <v/>
      </c>
      <c r="CG327" s="5" t="str">
        <f>"40,00"</f>
        <v>40,00</v>
      </c>
      <c r="CH327" s="5" t="str">
        <f>"2028"</f>
        <v>2028</v>
      </c>
      <c r="CI327" s="5" t="str">
        <f>"20,00"</f>
        <v>20,00</v>
      </c>
      <c r="CJ327" s="5" t="str">
        <f>"2033"</f>
        <v>2033</v>
      </c>
    </row>
    <row r="328" spans="1:88" ht="11.25" customHeight="1">
      <c r="A328" s="3" t="str">
        <f>"1.315"</f>
        <v>1.315</v>
      </c>
      <c r="B328" s="4" t="str">
        <f>"д. Вараксино, д.65"</f>
        <v>д. Вараксино, д.65</v>
      </c>
      <c r="C328" s="7" t="str">
        <f>"1999"</f>
        <v>1999</v>
      </c>
      <c r="D328" s="5" t="str">
        <f>""</f>
        <v/>
      </c>
      <c r="E328" s="5" t="str">
        <f>"40,00"</f>
        <v>40,00</v>
      </c>
      <c r="F328" s="5" t="str">
        <f>"2020"</f>
        <v>2020</v>
      </c>
      <c r="G328" s="5" t="str">
        <f t="shared" si="571"/>
        <v>нет</v>
      </c>
      <c r="H328" s="5" t="str">
        <f>""</f>
        <v/>
      </c>
      <c r="I328" s="5" t="str">
        <f>""</f>
        <v/>
      </c>
      <c r="J328" s="5" t="str">
        <f>""</f>
        <v/>
      </c>
      <c r="K328" s="5" t="str">
        <f t="shared" si="572"/>
        <v>нет</v>
      </c>
      <c r="L328" s="5" t="str">
        <f>""</f>
        <v/>
      </c>
      <c r="M328" s="5" t="str">
        <f>""</f>
        <v/>
      </c>
      <c r="N328" s="5" t="str">
        <f>""</f>
        <v/>
      </c>
      <c r="O328" s="8" t="str">
        <f>""</f>
        <v/>
      </c>
      <c r="P328" s="5" t="str">
        <f>"30,00"</f>
        <v>30,00</v>
      </c>
      <c r="Q328" s="5" t="str">
        <f>"2020"</f>
        <v>2020</v>
      </c>
      <c r="R328" s="5" t="str">
        <f>"нет"</f>
        <v>нет</v>
      </c>
      <c r="S328" s="5" t="str">
        <f>""</f>
        <v/>
      </c>
      <c r="T328" s="5" t="str">
        <f>""</f>
        <v/>
      </c>
      <c r="U328" s="5" t="str">
        <f>""</f>
        <v/>
      </c>
      <c r="V328" s="5" t="str">
        <f>"нет"</f>
        <v>нет</v>
      </c>
      <c r="W328" s="5" t="str">
        <f>""</f>
        <v/>
      </c>
      <c r="X328" s="5" t="str">
        <f>""</f>
        <v/>
      </c>
      <c r="Y328" s="9" t="str">
        <f>""</f>
        <v/>
      </c>
      <c r="Z328" s="5" t="str">
        <f>""</f>
        <v/>
      </c>
      <c r="AA328" s="5" t="str">
        <f>"15,00"</f>
        <v>15,00</v>
      </c>
      <c r="AB328" s="5" t="str">
        <f>"2035"</f>
        <v>2035</v>
      </c>
      <c r="AC328" s="5" t="str">
        <f>"нет"</f>
        <v>нет</v>
      </c>
      <c r="AD328" s="5" t="str">
        <f>""</f>
        <v/>
      </c>
      <c r="AE328" s="5" t="str">
        <f>""</f>
        <v/>
      </c>
      <c r="AF328" s="5" t="str">
        <f>""</f>
        <v/>
      </c>
      <c r="AG328" s="5" t="str">
        <f>"нет"</f>
        <v>нет</v>
      </c>
      <c r="AH328" s="5" t="str">
        <f>""</f>
        <v/>
      </c>
      <c r="AI328" s="5" t="str">
        <f>""</f>
        <v/>
      </c>
      <c r="AJ328" s="5" t="str">
        <f>""</f>
        <v/>
      </c>
      <c r="AK328" s="8" t="str">
        <f>""</f>
        <v/>
      </c>
      <c r="AL328" s="5" t="str">
        <f>"40,00"</f>
        <v>40,00</v>
      </c>
      <c r="AM328" s="5" t="str">
        <f>"2023"</f>
        <v>2023</v>
      </c>
      <c r="AN328" s="5" t="str">
        <f>"нет"</f>
        <v>нет</v>
      </c>
      <c r="AO328" s="5" t="str">
        <f>""</f>
        <v/>
      </c>
      <c r="AP328" s="5" t="str">
        <f>""</f>
        <v/>
      </c>
      <c r="AQ328" s="5" t="str">
        <f>""</f>
        <v/>
      </c>
      <c r="AR328" s="5" t="str">
        <f>"нет"</f>
        <v>нет</v>
      </c>
      <c r="AS328" s="5" t="str">
        <f>""</f>
        <v/>
      </c>
      <c r="AT328" s="5" t="str">
        <f>""</f>
        <v/>
      </c>
      <c r="AU328" s="5" t="str">
        <f>""</f>
        <v/>
      </c>
      <c r="AV328" s="5" t="str">
        <f>""</f>
        <v/>
      </c>
      <c r="AW328" s="5" t="str">
        <f>"40,00"</f>
        <v>40,00</v>
      </c>
      <c r="AX328" s="5" t="str">
        <f>"2023"</f>
        <v>2023</v>
      </c>
      <c r="AY328" s="5" t="str">
        <f>"нет"</f>
        <v>нет</v>
      </c>
      <c r="AZ328" s="5" t="str">
        <f>""</f>
        <v/>
      </c>
      <c r="BA328" s="5" t="str">
        <f>""</f>
        <v/>
      </c>
      <c r="BB328" s="5" t="str">
        <f>""</f>
        <v/>
      </c>
      <c r="BC328" s="5" t="str">
        <f>"нет"</f>
        <v>нет</v>
      </c>
      <c r="BD328" s="5" t="str">
        <f>""</f>
        <v/>
      </c>
      <c r="BE328" s="5" t="str">
        <f>""</f>
        <v/>
      </c>
      <c r="BF328" s="5" t="str">
        <f>""</f>
        <v/>
      </c>
      <c r="BG328" s="5" t="str">
        <f>""</f>
        <v/>
      </c>
      <c r="BH328" s="5" t="str">
        <f>"40,00"</f>
        <v>40,00</v>
      </c>
      <c r="BI328" s="5" t="str">
        <f>"2023"</f>
        <v>2023</v>
      </c>
      <c r="BJ328" s="5" t="str">
        <f>"нет"</f>
        <v>нет</v>
      </c>
      <c r="BK328" s="5" t="str">
        <f>""</f>
        <v/>
      </c>
      <c r="BL328" s="5" t="str">
        <f>""</f>
        <v/>
      </c>
      <c r="BM328" s="5" t="str">
        <f>""</f>
        <v/>
      </c>
      <c r="BN328" s="5" t="str">
        <f>"нет"</f>
        <v>нет</v>
      </c>
      <c r="BO328" s="5" t="str">
        <f>""</f>
        <v/>
      </c>
      <c r="BP328" s="5" t="str">
        <f>""</f>
        <v/>
      </c>
      <c r="BQ328" s="5" t="str">
        <f>""</f>
        <v/>
      </c>
      <c r="BR328" s="5" t="str">
        <f>""</f>
        <v/>
      </c>
      <c r="BS328" s="5" t="str">
        <f>"65,00"</f>
        <v>65,00</v>
      </c>
      <c r="BT328" s="5" t="str">
        <f>"2016"</f>
        <v>2016</v>
      </c>
      <c r="BU328" s="5" t="str">
        <f t="shared" si="518"/>
        <v>нет</v>
      </c>
      <c r="BV328" s="5" t="str">
        <f t="shared" si="563"/>
        <v>x</v>
      </c>
      <c r="BW328" s="5" t="str">
        <f t="shared" si="563"/>
        <v>x</v>
      </c>
      <c r="BX328" s="5" t="str">
        <f t="shared" si="563"/>
        <v>x</v>
      </c>
      <c r="BY328" s="5" t="str">
        <f>"да"</f>
        <v>да</v>
      </c>
      <c r="BZ328" s="5" t="str">
        <f>""</f>
        <v/>
      </c>
      <c r="CA328" s="5" t="str">
        <f>"40,00"</f>
        <v>40,00</v>
      </c>
      <c r="CB328" s="5" t="str">
        <f>"2023"</f>
        <v>2023</v>
      </c>
      <c r="CC328" s="5" t="str">
        <f>""</f>
        <v/>
      </c>
      <c r="CD328" s="5" t="str">
        <f>"30,00"</f>
        <v>30,00</v>
      </c>
      <c r="CE328" s="5" t="str">
        <f>"2030"</f>
        <v>2030</v>
      </c>
      <c r="CF328" s="5" t="str">
        <f>""</f>
        <v/>
      </c>
      <c r="CG328" s="5" t="str">
        <f>"30,00"</f>
        <v>30,00</v>
      </c>
      <c r="CH328" s="5" t="str">
        <f>"2030"</f>
        <v>2030</v>
      </c>
      <c r="CI328" s="5" t="str">
        <f>"15,00"</f>
        <v>15,00</v>
      </c>
      <c r="CJ328" s="5" t="str">
        <f>"2032"</f>
        <v>2032</v>
      </c>
    </row>
    <row r="329" spans="1:88" ht="11.25" customHeight="1">
      <c r="A329" s="3" t="str">
        <f>"1.316"</f>
        <v>1.316</v>
      </c>
      <c r="B329" s="4" t="str">
        <f>"д. Заемье, д.39"</f>
        <v>д. Заемье, д.39</v>
      </c>
      <c r="C329" s="7" t="str">
        <f>"1984"</f>
        <v>1984</v>
      </c>
      <c r="D329" s="5" t="str">
        <f>""</f>
        <v/>
      </c>
      <c r="E329" s="5" t="str">
        <f>"40,00"</f>
        <v>40,00</v>
      </c>
      <c r="F329" s="5" t="str">
        <f>"2020"</f>
        <v>2020</v>
      </c>
      <c r="G329" s="5" t="str">
        <f t="shared" si="571"/>
        <v>нет</v>
      </c>
      <c r="H329" s="5" t="str">
        <f>""</f>
        <v/>
      </c>
      <c r="I329" s="5" t="str">
        <f>""</f>
        <v/>
      </c>
      <c r="J329" s="5" t="str">
        <f>""</f>
        <v/>
      </c>
      <c r="K329" s="5" t="str">
        <f t="shared" si="572"/>
        <v>нет</v>
      </c>
      <c r="L329" s="5" t="str">
        <f>""</f>
        <v/>
      </c>
      <c r="M329" s="5" t="str">
        <f>""</f>
        <v/>
      </c>
      <c r="N329" s="5" t="str">
        <f>""</f>
        <v/>
      </c>
      <c r="O329" s="8" t="str">
        <f>""</f>
        <v/>
      </c>
      <c r="P329" s="5" t="str">
        <f>"39,00"</f>
        <v>39,00</v>
      </c>
      <c r="Q329" s="5" t="str">
        <f>"2016"</f>
        <v>2016</v>
      </c>
      <c r="R329" s="5" t="str">
        <f>"нет"</f>
        <v>нет</v>
      </c>
      <c r="S329" s="5" t="str">
        <f>""</f>
        <v/>
      </c>
      <c r="T329" s="5" t="str">
        <f>""</f>
        <v/>
      </c>
      <c r="U329" s="5" t="str">
        <f>""</f>
        <v/>
      </c>
      <c r="V329" s="5" t="str">
        <f>"нет"</f>
        <v>нет</v>
      </c>
      <c r="W329" s="5" t="str">
        <f>""</f>
        <v/>
      </c>
      <c r="X329" s="5" t="str">
        <f>""</f>
        <v/>
      </c>
      <c r="Y329" s="9" t="str">
        <f>""</f>
        <v/>
      </c>
      <c r="Z329" s="5" t="str">
        <f t="shared" ref="Z329:AJ333" si="573">"х"</f>
        <v>х</v>
      </c>
      <c r="AA329" s="5" t="str">
        <f t="shared" si="573"/>
        <v>х</v>
      </c>
      <c r="AB329" s="5" t="str">
        <f t="shared" si="573"/>
        <v>х</v>
      </c>
      <c r="AC329" s="5" t="str">
        <f t="shared" si="573"/>
        <v>х</v>
      </c>
      <c r="AD329" s="5" t="str">
        <f t="shared" si="573"/>
        <v>х</v>
      </c>
      <c r="AE329" s="5" t="str">
        <f t="shared" si="573"/>
        <v>х</v>
      </c>
      <c r="AF329" s="5" t="str">
        <f t="shared" si="573"/>
        <v>х</v>
      </c>
      <c r="AG329" s="5" t="str">
        <f t="shared" si="573"/>
        <v>х</v>
      </c>
      <c r="AH329" s="5" t="str">
        <f t="shared" si="573"/>
        <v>х</v>
      </c>
      <c r="AI329" s="5" t="str">
        <f t="shared" si="573"/>
        <v>х</v>
      </c>
      <c r="AJ329" s="5" t="str">
        <f t="shared" si="573"/>
        <v>х</v>
      </c>
      <c r="AK329" s="8" t="str">
        <f>"2012"</f>
        <v>2012</v>
      </c>
      <c r="AL329" s="5" t="str">
        <f>"20,00"</f>
        <v>20,00</v>
      </c>
      <c r="AM329" s="5" t="str">
        <f>"2030"</f>
        <v>2030</v>
      </c>
      <c r="AN329" s="5" t="str">
        <f>"нет"</f>
        <v>нет</v>
      </c>
      <c r="AO329" s="5" t="str">
        <f>""</f>
        <v/>
      </c>
      <c r="AP329" s="5" t="str">
        <f>""</f>
        <v/>
      </c>
      <c r="AQ329" s="5" t="str">
        <f>""</f>
        <v/>
      </c>
      <c r="AR329" s="5" t="str">
        <f>"нет"</f>
        <v>нет</v>
      </c>
      <c r="AS329" s="5" t="str">
        <f>""</f>
        <v/>
      </c>
      <c r="AT329" s="5" t="str">
        <f>""</f>
        <v/>
      </c>
      <c r="AU329" s="5" t="str">
        <f>""</f>
        <v/>
      </c>
      <c r="AV329" s="5" t="str">
        <f>""</f>
        <v/>
      </c>
      <c r="AW329" s="5" t="str">
        <f>""</f>
        <v/>
      </c>
      <c r="AX329" s="5" t="str">
        <f>""</f>
        <v/>
      </c>
      <c r="AY329" s="5" t="str">
        <f>""</f>
        <v/>
      </c>
      <c r="AZ329" s="5" t="str">
        <f>""</f>
        <v/>
      </c>
      <c r="BA329" s="5" t="str">
        <f>""</f>
        <v/>
      </c>
      <c r="BB329" s="5" t="str">
        <f>""</f>
        <v/>
      </c>
      <c r="BC329" s="5" t="str">
        <f>""</f>
        <v/>
      </c>
      <c r="BD329" s="5" t="str">
        <f>""</f>
        <v/>
      </c>
      <c r="BE329" s="5" t="str">
        <f>""</f>
        <v/>
      </c>
      <c r="BF329" s="5" t="str">
        <f>""</f>
        <v/>
      </c>
      <c r="BG329" s="5" t="str">
        <f>""</f>
        <v/>
      </c>
      <c r="BH329" s="5" t="str">
        <f>"39,00"</f>
        <v>39,00</v>
      </c>
      <c r="BI329" s="5" t="str">
        <f>"2016"</f>
        <v>2016</v>
      </c>
      <c r="BJ329" s="5" t="str">
        <f>"нет"</f>
        <v>нет</v>
      </c>
      <c r="BK329" s="5" t="str">
        <f>""</f>
        <v/>
      </c>
      <c r="BL329" s="5" t="str">
        <f>""</f>
        <v/>
      </c>
      <c r="BM329" s="5" t="str">
        <f>""</f>
        <v/>
      </c>
      <c r="BN329" s="5" t="str">
        <f>"нет"</f>
        <v>нет</v>
      </c>
      <c r="BO329" s="5" t="str">
        <f>""</f>
        <v/>
      </c>
      <c r="BP329" s="5" t="str">
        <f>""</f>
        <v/>
      </c>
      <c r="BQ329" s="5" t="str">
        <f>""</f>
        <v/>
      </c>
      <c r="BR329" s="5" t="str">
        <f>"2009"</f>
        <v>2009</v>
      </c>
      <c r="BS329" s="5" t="str">
        <f>"20,00"</f>
        <v>20,00</v>
      </c>
      <c r="BT329" s="5" t="str">
        <f>"2035"</f>
        <v>2035</v>
      </c>
      <c r="BU329" s="5" t="str">
        <f t="shared" si="518"/>
        <v>нет</v>
      </c>
      <c r="BV329" s="5" t="str">
        <f t="shared" si="563"/>
        <v>x</v>
      </c>
      <c r="BW329" s="5" t="str">
        <f t="shared" si="563"/>
        <v>x</v>
      </c>
      <c r="BX329" s="5" t="str">
        <f t="shared" si="563"/>
        <v>x</v>
      </c>
      <c r="BY329" s="5" t="str">
        <f>"да"</f>
        <v>да</v>
      </c>
      <c r="BZ329" s="5" t="str">
        <f>""</f>
        <v/>
      </c>
      <c r="CA329" s="5" t="str">
        <f>"40,00"</f>
        <v>40,00</v>
      </c>
      <c r="CB329" s="5" t="str">
        <f>"2030"</f>
        <v>2030</v>
      </c>
      <c r="CC329" s="5" t="str">
        <f>""</f>
        <v/>
      </c>
      <c r="CD329" s="5" t="str">
        <f>"30,00"</f>
        <v>30,00</v>
      </c>
      <c r="CE329" s="5" t="str">
        <f>"2035"</f>
        <v>2035</v>
      </c>
      <c r="CF329" s="5" t="str">
        <f>""</f>
        <v/>
      </c>
      <c r="CG329" s="5" t="str">
        <f>"30,00"</f>
        <v>30,00</v>
      </c>
      <c r="CH329" s="5" t="str">
        <f>"2035"</f>
        <v>2035</v>
      </c>
      <c r="CI329" s="5" t="str">
        <f>"39,00"</f>
        <v>39,00</v>
      </c>
      <c r="CJ329" s="5" t="str">
        <f>"2035"</f>
        <v>2035</v>
      </c>
    </row>
    <row r="330" spans="1:88" ht="11.25" customHeight="1">
      <c r="A330" s="3" t="str">
        <f>"1.317"</f>
        <v>1.317</v>
      </c>
      <c r="B330" s="4" t="str">
        <f>"д. Заемье, д.4"</f>
        <v>д. Заемье, д.4</v>
      </c>
      <c r="C330" s="7" t="str">
        <f>"1976"</f>
        <v>1976</v>
      </c>
      <c r="D330" s="5" t="str">
        <f>""</f>
        <v/>
      </c>
      <c r="E330" s="5" t="str">
        <f>"54,00"</f>
        <v>54,00</v>
      </c>
      <c r="F330" s="5" t="str">
        <f>"2018"</f>
        <v>2018</v>
      </c>
      <c r="G330" s="5" t="str">
        <f t="shared" si="571"/>
        <v>нет</v>
      </c>
      <c r="H330" s="5" t="str">
        <f>""</f>
        <v/>
      </c>
      <c r="I330" s="5" t="str">
        <f>""</f>
        <v/>
      </c>
      <c r="J330" s="5" t="str">
        <f>""</f>
        <v/>
      </c>
      <c r="K330" s="5" t="str">
        <f t="shared" si="572"/>
        <v>нет</v>
      </c>
      <c r="L330" s="5" t="str">
        <f>""</f>
        <v/>
      </c>
      <c r="M330" s="5" t="str">
        <f>""</f>
        <v/>
      </c>
      <c r="N330" s="5" t="str">
        <f>""</f>
        <v/>
      </c>
      <c r="O330" s="8" t="str">
        <f>""</f>
        <v/>
      </c>
      <c r="P330" s="5" t="str">
        <f>""</f>
        <v/>
      </c>
      <c r="Q330" s="5" t="str">
        <f>""</f>
        <v/>
      </c>
      <c r="R330" s="5" t="str">
        <f>""</f>
        <v/>
      </c>
      <c r="S330" s="5" t="str">
        <f>""</f>
        <v/>
      </c>
      <c r="T330" s="5" t="str">
        <f>""</f>
        <v/>
      </c>
      <c r="U330" s="5" t="str">
        <f>""</f>
        <v/>
      </c>
      <c r="V330" s="5" t="str">
        <f>""</f>
        <v/>
      </c>
      <c r="W330" s="5" t="str">
        <f>""</f>
        <v/>
      </c>
      <c r="X330" s="5" t="str">
        <f>""</f>
        <v/>
      </c>
      <c r="Y330" s="9" t="str">
        <f>""</f>
        <v/>
      </c>
      <c r="Z330" s="5" t="str">
        <f t="shared" si="573"/>
        <v>х</v>
      </c>
      <c r="AA330" s="5" t="str">
        <f t="shared" si="573"/>
        <v>х</v>
      </c>
      <c r="AB330" s="5" t="str">
        <f t="shared" si="573"/>
        <v>х</v>
      </c>
      <c r="AC330" s="5" t="str">
        <f t="shared" si="573"/>
        <v>х</v>
      </c>
      <c r="AD330" s="5" t="str">
        <f t="shared" si="573"/>
        <v>х</v>
      </c>
      <c r="AE330" s="5" t="str">
        <f t="shared" si="573"/>
        <v>х</v>
      </c>
      <c r="AF330" s="5" t="str">
        <f t="shared" si="573"/>
        <v>х</v>
      </c>
      <c r="AG330" s="5" t="str">
        <f t="shared" si="573"/>
        <v>х</v>
      </c>
      <c r="AH330" s="5" t="str">
        <f t="shared" si="573"/>
        <v>х</v>
      </c>
      <c r="AI330" s="5" t="str">
        <f t="shared" si="573"/>
        <v>х</v>
      </c>
      <c r="AJ330" s="5" t="str">
        <f t="shared" si="573"/>
        <v>х</v>
      </c>
      <c r="AK330" s="8" t="str">
        <f t="shared" ref="AK330:BQ330" si="574">"х"</f>
        <v>х</v>
      </c>
      <c r="AL330" s="5" t="str">
        <f t="shared" si="574"/>
        <v>х</v>
      </c>
      <c r="AM330" s="5" t="str">
        <f t="shared" si="574"/>
        <v>х</v>
      </c>
      <c r="AN330" s="5" t="str">
        <f t="shared" si="574"/>
        <v>х</v>
      </c>
      <c r="AO330" s="5" t="str">
        <f t="shared" si="574"/>
        <v>х</v>
      </c>
      <c r="AP330" s="5" t="str">
        <f t="shared" si="574"/>
        <v>х</v>
      </c>
      <c r="AQ330" s="5" t="str">
        <f t="shared" si="574"/>
        <v>х</v>
      </c>
      <c r="AR330" s="5" t="str">
        <f t="shared" si="574"/>
        <v>х</v>
      </c>
      <c r="AS330" s="5" t="str">
        <f t="shared" si="574"/>
        <v>х</v>
      </c>
      <c r="AT330" s="5" t="str">
        <f t="shared" si="574"/>
        <v>х</v>
      </c>
      <c r="AU330" s="5" t="str">
        <f t="shared" si="574"/>
        <v>х</v>
      </c>
      <c r="AV330" s="5" t="str">
        <f t="shared" si="574"/>
        <v>х</v>
      </c>
      <c r="AW330" s="5" t="str">
        <f t="shared" si="574"/>
        <v>х</v>
      </c>
      <c r="AX330" s="5" t="str">
        <f t="shared" si="574"/>
        <v>х</v>
      </c>
      <c r="AY330" s="5" t="str">
        <f t="shared" si="574"/>
        <v>х</v>
      </c>
      <c r="AZ330" s="5" t="str">
        <f t="shared" si="574"/>
        <v>х</v>
      </c>
      <c r="BA330" s="5" t="str">
        <f t="shared" si="574"/>
        <v>х</v>
      </c>
      <c r="BB330" s="5" t="str">
        <f t="shared" si="574"/>
        <v>х</v>
      </c>
      <c r="BC330" s="5" t="str">
        <f t="shared" si="574"/>
        <v>х</v>
      </c>
      <c r="BD330" s="5" t="str">
        <f t="shared" si="574"/>
        <v>х</v>
      </c>
      <c r="BE330" s="5" t="str">
        <f t="shared" si="574"/>
        <v>х</v>
      </c>
      <c r="BF330" s="5" t="str">
        <f t="shared" si="574"/>
        <v>х</v>
      </c>
      <c r="BG330" s="5" t="str">
        <f t="shared" si="574"/>
        <v>х</v>
      </c>
      <c r="BH330" s="5" t="str">
        <f t="shared" si="574"/>
        <v>х</v>
      </c>
      <c r="BI330" s="5" t="str">
        <f t="shared" si="574"/>
        <v>х</v>
      </c>
      <c r="BJ330" s="5" t="str">
        <f t="shared" si="574"/>
        <v>х</v>
      </c>
      <c r="BK330" s="5" t="str">
        <f t="shared" si="574"/>
        <v>х</v>
      </c>
      <c r="BL330" s="5" t="str">
        <f t="shared" si="574"/>
        <v>х</v>
      </c>
      <c r="BM330" s="5" t="str">
        <f t="shared" si="574"/>
        <v>х</v>
      </c>
      <c r="BN330" s="5" t="str">
        <f t="shared" si="574"/>
        <v>х</v>
      </c>
      <c r="BO330" s="5" t="str">
        <f t="shared" si="574"/>
        <v>х</v>
      </c>
      <c r="BP330" s="5" t="str">
        <f t="shared" si="574"/>
        <v>х</v>
      </c>
      <c r="BQ330" s="5" t="str">
        <f t="shared" si="574"/>
        <v>х</v>
      </c>
      <c r="BR330" s="5" t="str">
        <f>"2012"</f>
        <v>2012</v>
      </c>
      <c r="BS330" s="5" t="str">
        <f>"20,00"</f>
        <v>20,00</v>
      </c>
      <c r="BT330" s="5" t="str">
        <f>"2037"</f>
        <v>2037</v>
      </c>
      <c r="BU330" s="5" t="str">
        <f t="shared" si="518"/>
        <v>нет</v>
      </c>
      <c r="BV330" s="5" t="str">
        <f t="shared" si="563"/>
        <v>x</v>
      </c>
      <c r="BW330" s="5" t="str">
        <f t="shared" si="563"/>
        <v>x</v>
      </c>
      <c r="BX330" s="5" t="str">
        <f t="shared" si="563"/>
        <v>x</v>
      </c>
      <c r="BY330" s="5" t="str">
        <f>"нет"</f>
        <v>нет</v>
      </c>
      <c r="BZ330" s="5" t="str">
        <f>"x"</f>
        <v>x</v>
      </c>
      <c r="CA330" s="5" t="str">
        <f>"x"</f>
        <v>x</v>
      </c>
      <c r="CB330" s="5" t="str">
        <f>"x"</f>
        <v>x</v>
      </c>
      <c r="CC330" s="5" t="str">
        <f>""</f>
        <v/>
      </c>
      <c r="CD330" s="5" t="str">
        <f>"40,00"</f>
        <v>40,00</v>
      </c>
      <c r="CE330" s="5" t="str">
        <f>"2023"</f>
        <v>2023</v>
      </c>
      <c r="CF330" s="5" t="str">
        <f>""</f>
        <v/>
      </c>
      <c r="CG330" s="5" t="str">
        <f>"40,00"</f>
        <v>40,00</v>
      </c>
      <c r="CH330" s="5" t="str">
        <f>"2023"</f>
        <v>2023</v>
      </c>
      <c r="CI330" s="5" t="str">
        <f>"54,00"</f>
        <v>54,00</v>
      </c>
      <c r="CJ330" s="5" t="str">
        <f>"2035"</f>
        <v>2035</v>
      </c>
    </row>
    <row r="331" spans="1:88" ht="11.25" customHeight="1">
      <c r="A331" s="3" t="str">
        <f>"1.318"</f>
        <v>1.318</v>
      </c>
      <c r="B331" s="4" t="str">
        <f>"д. Заемье, д.40"</f>
        <v>д. Заемье, д.40</v>
      </c>
      <c r="C331" s="7" t="str">
        <f>"1992"</f>
        <v>1992</v>
      </c>
      <c r="D331" s="5" t="str">
        <f>""</f>
        <v/>
      </c>
      <c r="E331" s="5" t="str">
        <f>"40,00"</f>
        <v>40,00</v>
      </c>
      <c r="F331" s="5" t="str">
        <f>"2025"</f>
        <v>2025</v>
      </c>
      <c r="G331" s="5" t="str">
        <f t="shared" si="571"/>
        <v>нет</v>
      </c>
      <c r="H331" s="5" t="str">
        <f>""</f>
        <v/>
      </c>
      <c r="I331" s="5" t="str">
        <f>""</f>
        <v/>
      </c>
      <c r="J331" s="5" t="str">
        <f>""</f>
        <v/>
      </c>
      <c r="K331" s="5" t="str">
        <f t="shared" si="572"/>
        <v>нет</v>
      </c>
      <c r="L331" s="5" t="str">
        <f>""</f>
        <v/>
      </c>
      <c r="M331" s="5" t="str">
        <f>""</f>
        <v/>
      </c>
      <c r="N331" s="5" t="str">
        <f>""</f>
        <v/>
      </c>
      <c r="O331" s="8" t="str">
        <f>""</f>
        <v/>
      </c>
      <c r="P331" s="5" t="str">
        <f>"40,00"</f>
        <v>40,00</v>
      </c>
      <c r="Q331" s="5" t="str">
        <f>"2025"</f>
        <v>2025</v>
      </c>
      <c r="R331" s="5" t="str">
        <f>"нет"</f>
        <v>нет</v>
      </c>
      <c r="S331" s="5" t="str">
        <f>""</f>
        <v/>
      </c>
      <c r="T331" s="5" t="str">
        <f>""</f>
        <v/>
      </c>
      <c r="U331" s="5" t="str">
        <f>""</f>
        <v/>
      </c>
      <c r="V331" s="5" t="str">
        <f>"нет"</f>
        <v>нет</v>
      </c>
      <c r="W331" s="5" t="str">
        <f>""</f>
        <v/>
      </c>
      <c r="X331" s="5" t="str">
        <f>""</f>
        <v/>
      </c>
      <c r="Y331" s="9" t="str">
        <f>""</f>
        <v/>
      </c>
      <c r="Z331" s="5" t="str">
        <f t="shared" si="573"/>
        <v>х</v>
      </c>
      <c r="AA331" s="5" t="str">
        <f t="shared" si="573"/>
        <v>х</v>
      </c>
      <c r="AB331" s="5" t="str">
        <f t="shared" si="573"/>
        <v>х</v>
      </c>
      <c r="AC331" s="5" t="str">
        <f t="shared" si="573"/>
        <v>х</v>
      </c>
      <c r="AD331" s="5" t="str">
        <f t="shared" si="573"/>
        <v>х</v>
      </c>
      <c r="AE331" s="5" t="str">
        <f t="shared" si="573"/>
        <v>х</v>
      </c>
      <c r="AF331" s="5" t="str">
        <f t="shared" si="573"/>
        <v>х</v>
      </c>
      <c r="AG331" s="5" t="str">
        <f t="shared" si="573"/>
        <v>х</v>
      </c>
      <c r="AH331" s="5" t="str">
        <f t="shared" si="573"/>
        <v>х</v>
      </c>
      <c r="AI331" s="5" t="str">
        <f t="shared" si="573"/>
        <v>х</v>
      </c>
      <c r="AJ331" s="5" t="str">
        <f t="shared" si="573"/>
        <v>х</v>
      </c>
      <c r="AK331" s="8" t="str">
        <f>""</f>
        <v/>
      </c>
      <c r="AL331" s="5" t="str">
        <f>"45,00"</f>
        <v>45,00</v>
      </c>
      <c r="AM331" s="5" t="str">
        <f>"2018"</f>
        <v>2018</v>
      </c>
      <c r="AN331" s="5" t="str">
        <f>"нет"</f>
        <v>нет</v>
      </c>
      <c r="AO331" s="5" t="str">
        <f>""</f>
        <v/>
      </c>
      <c r="AP331" s="5" t="str">
        <f>""</f>
        <v/>
      </c>
      <c r="AQ331" s="5" t="str">
        <f>""</f>
        <v/>
      </c>
      <c r="AR331" s="5" t="str">
        <f>"нет"</f>
        <v>нет</v>
      </c>
      <c r="AS331" s="5" t="str">
        <f>""</f>
        <v/>
      </c>
      <c r="AT331" s="5" t="str">
        <f>""</f>
        <v/>
      </c>
      <c r="AU331" s="5" t="str">
        <f>""</f>
        <v/>
      </c>
      <c r="AV331" s="5" t="str">
        <f>""</f>
        <v/>
      </c>
      <c r="AW331" s="5" t="str">
        <f>""</f>
        <v/>
      </c>
      <c r="AX331" s="5" t="str">
        <f>""</f>
        <v/>
      </c>
      <c r="AY331" s="5" t="str">
        <f>""</f>
        <v/>
      </c>
      <c r="AZ331" s="5" t="str">
        <f>""</f>
        <v/>
      </c>
      <c r="BA331" s="5" t="str">
        <f>""</f>
        <v/>
      </c>
      <c r="BB331" s="5" t="str">
        <f>""</f>
        <v/>
      </c>
      <c r="BC331" s="5" t="str">
        <f>""</f>
        <v/>
      </c>
      <c r="BD331" s="5" t="str">
        <f>""</f>
        <v/>
      </c>
      <c r="BE331" s="5" t="str">
        <f>""</f>
        <v/>
      </c>
      <c r="BF331" s="5" t="str">
        <f>""</f>
        <v/>
      </c>
      <c r="BG331" s="5" t="str">
        <f>""</f>
        <v/>
      </c>
      <c r="BH331" s="5" t="str">
        <f>"45,00"</f>
        <v>45,00</v>
      </c>
      <c r="BI331" s="5" t="str">
        <f>"2018"</f>
        <v>2018</v>
      </c>
      <c r="BJ331" s="5" t="str">
        <f>"нет"</f>
        <v>нет</v>
      </c>
      <c r="BK331" s="5" t="str">
        <f>""</f>
        <v/>
      </c>
      <c r="BL331" s="5" t="str">
        <f>""</f>
        <v/>
      </c>
      <c r="BM331" s="5" t="str">
        <f>""</f>
        <v/>
      </c>
      <c r="BN331" s="5" t="str">
        <f>"нет"</f>
        <v>нет</v>
      </c>
      <c r="BO331" s="5" t="str">
        <f>""</f>
        <v/>
      </c>
      <c r="BP331" s="5" t="str">
        <f>""</f>
        <v/>
      </c>
      <c r="BQ331" s="5" t="str">
        <f>""</f>
        <v/>
      </c>
      <c r="BR331" s="5" t="str">
        <f>""</f>
        <v/>
      </c>
      <c r="BS331" s="5" t="str">
        <f>"25,00"</f>
        <v>25,00</v>
      </c>
      <c r="BT331" s="5" t="str">
        <f>"2018"</f>
        <v>2018</v>
      </c>
      <c r="BU331" s="5" t="str">
        <f t="shared" si="518"/>
        <v>нет</v>
      </c>
      <c r="BV331" s="5" t="str">
        <f t="shared" si="563"/>
        <v>x</v>
      </c>
      <c r="BW331" s="5" t="str">
        <f t="shared" si="563"/>
        <v>x</v>
      </c>
      <c r="BX331" s="5" t="str">
        <f t="shared" si="563"/>
        <v>x</v>
      </c>
      <c r="BY331" s="5" t="str">
        <f>"да"</f>
        <v>да</v>
      </c>
      <c r="BZ331" s="5" t="str">
        <f>""</f>
        <v/>
      </c>
      <c r="CA331" s="5" t="str">
        <f>"40,00"</f>
        <v>40,00</v>
      </c>
      <c r="CB331" s="5" t="str">
        <f>"2025"</f>
        <v>2025</v>
      </c>
      <c r="CC331" s="5" t="str">
        <f>""</f>
        <v/>
      </c>
      <c r="CD331" s="5" t="str">
        <f>"20,00"</f>
        <v>20,00</v>
      </c>
      <c r="CE331" s="5" t="str">
        <f>"2035"</f>
        <v>2035</v>
      </c>
      <c r="CF331" s="5" t="str">
        <f>""</f>
        <v/>
      </c>
      <c r="CG331" s="5" t="str">
        <f>"20,00"</f>
        <v>20,00</v>
      </c>
      <c r="CH331" s="5" t="str">
        <f>"2035"</f>
        <v>2035</v>
      </c>
      <c r="CI331" s="5" t="str">
        <f>"25,00"</f>
        <v>25,00</v>
      </c>
      <c r="CJ331" s="5" t="str">
        <f>"2035"</f>
        <v>2035</v>
      </c>
    </row>
    <row r="332" spans="1:88" ht="11.25" customHeight="1">
      <c r="A332" s="3" t="str">
        <f>"1.319"</f>
        <v>1.319</v>
      </c>
      <c r="B332" s="4" t="str">
        <f>"д. Коротыгино, ул. Парковая, д.29"</f>
        <v>д. Коротыгино, ул. Парковая, д.29</v>
      </c>
      <c r="C332" s="7" t="str">
        <f>"1964"</f>
        <v>1964</v>
      </c>
      <c r="D332" s="5" t="str">
        <f t="shared" ref="D332:Y332" si="575">"х"</f>
        <v>х</v>
      </c>
      <c r="E332" s="5" t="str">
        <f t="shared" si="575"/>
        <v>х</v>
      </c>
      <c r="F332" s="5" t="str">
        <f t="shared" si="575"/>
        <v>х</v>
      </c>
      <c r="G332" s="5" t="str">
        <f t="shared" si="575"/>
        <v>х</v>
      </c>
      <c r="H332" s="5" t="str">
        <f t="shared" si="575"/>
        <v>х</v>
      </c>
      <c r="I332" s="5" t="str">
        <f t="shared" si="575"/>
        <v>х</v>
      </c>
      <c r="J332" s="5" t="str">
        <f t="shared" si="575"/>
        <v>х</v>
      </c>
      <c r="K332" s="5" t="str">
        <f t="shared" si="575"/>
        <v>х</v>
      </c>
      <c r="L332" s="5" t="str">
        <f t="shared" si="575"/>
        <v>х</v>
      </c>
      <c r="M332" s="5" t="str">
        <f t="shared" si="575"/>
        <v>х</v>
      </c>
      <c r="N332" s="5" t="str">
        <f t="shared" si="575"/>
        <v>х</v>
      </c>
      <c r="O332" s="8" t="str">
        <f t="shared" si="575"/>
        <v>х</v>
      </c>
      <c r="P332" s="5" t="str">
        <f t="shared" si="575"/>
        <v>х</v>
      </c>
      <c r="Q332" s="5" t="str">
        <f t="shared" si="575"/>
        <v>х</v>
      </c>
      <c r="R332" s="5" t="str">
        <f t="shared" si="575"/>
        <v>х</v>
      </c>
      <c r="S332" s="5" t="str">
        <f t="shared" si="575"/>
        <v>х</v>
      </c>
      <c r="T332" s="5" t="str">
        <f t="shared" si="575"/>
        <v>х</v>
      </c>
      <c r="U332" s="5" t="str">
        <f t="shared" si="575"/>
        <v>х</v>
      </c>
      <c r="V332" s="5" t="str">
        <f t="shared" si="575"/>
        <v>х</v>
      </c>
      <c r="W332" s="5" t="str">
        <f t="shared" si="575"/>
        <v>х</v>
      </c>
      <c r="X332" s="5" t="str">
        <f t="shared" si="575"/>
        <v>х</v>
      </c>
      <c r="Y332" s="9" t="str">
        <f t="shared" si="575"/>
        <v>х</v>
      </c>
      <c r="Z332" s="5" t="str">
        <f t="shared" si="573"/>
        <v>х</v>
      </c>
      <c r="AA332" s="5" t="str">
        <f t="shared" si="573"/>
        <v>х</v>
      </c>
      <c r="AB332" s="5" t="str">
        <f t="shared" si="573"/>
        <v>х</v>
      </c>
      <c r="AC332" s="5" t="str">
        <f t="shared" si="573"/>
        <v>х</v>
      </c>
      <c r="AD332" s="5" t="str">
        <f t="shared" si="573"/>
        <v>х</v>
      </c>
      <c r="AE332" s="5" t="str">
        <f t="shared" si="573"/>
        <v>х</v>
      </c>
      <c r="AF332" s="5" t="str">
        <f t="shared" si="573"/>
        <v>х</v>
      </c>
      <c r="AG332" s="5" t="str">
        <f t="shared" si="573"/>
        <v>х</v>
      </c>
      <c r="AH332" s="5" t="str">
        <f t="shared" si="573"/>
        <v>х</v>
      </c>
      <c r="AI332" s="5" t="str">
        <f t="shared" si="573"/>
        <v>х</v>
      </c>
      <c r="AJ332" s="5" t="str">
        <f t="shared" si="573"/>
        <v>х</v>
      </c>
      <c r="AK332" s="8" t="str">
        <f t="shared" ref="AK332:AT333" si="576">"х"</f>
        <v>х</v>
      </c>
      <c r="AL332" s="5" t="str">
        <f t="shared" si="576"/>
        <v>х</v>
      </c>
      <c r="AM332" s="5" t="str">
        <f t="shared" si="576"/>
        <v>х</v>
      </c>
      <c r="AN332" s="5" t="str">
        <f t="shared" si="576"/>
        <v>х</v>
      </c>
      <c r="AO332" s="5" t="str">
        <f t="shared" si="576"/>
        <v>х</v>
      </c>
      <c r="AP332" s="5" t="str">
        <f t="shared" si="576"/>
        <v>х</v>
      </c>
      <c r="AQ332" s="5" t="str">
        <f t="shared" si="576"/>
        <v>х</v>
      </c>
      <c r="AR332" s="5" t="str">
        <f t="shared" si="576"/>
        <v>х</v>
      </c>
      <c r="AS332" s="5" t="str">
        <f t="shared" si="576"/>
        <v>х</v>
      </c>
      <c r="AT332" s="5" t="str">
        <f t="shared" si="576"/>
        <v>х</v>
      </c>
      <c r="AU332" s="5" t="str">
        <f t="shared" ref="AU332:BD333" si="577">"х"</f>
        <v>х</v>
      </c>
      <c r="AV332" s="5" t="str">
        <f t="shared" si="577"/>
        <v>х</v>
      </c>
      <c r="AW332" s="5" t="str">
        <f t="shared" si="577"/>
        <v>х</v>
      </c>
      <c r="AX332" s="5" t="str">
        <f t="shared" si="577"/>
        <v>х</v>
      </c>
      <c r="AY332" s="5" t="str">
        <f t="shared" si="577"/>
        <v>х</v>
      </c>
      <c r="AZ332" s="5" t="str">
        <f t="shared" si="577"/>
        <v>х</v>
      </c>
      <c r="BA332" s="5" t="str">
        <f t="shared" si="577"/>
        <v>х</v>
      </c>
      <c r="BB332" s="5" t="str">
        <f t="shared" si="577"/>
        <v>х</v>
      </c>
      <c r="BC332" s="5" t="str">
        <f t="shared" si="577"/>
        <v>х</v>
      </c>
      <c r="BD332" s="5" t="str">
        <f t="shared" si="577"/>
        <v>х</v>
      </c>
      <c r="BE332" s="5" t="str">
        <f t="shared" ref="BE332:BQ333" si="578">"х"</f>
        <v>х</v>
      </c>
      <c r="BF332" s="5" t="str">
        <f t="shared" si="578"/>
        <v>х</v>
      </c>
      <c r="BG332" s="5" t="str">
        <f t="shared" si="578"/>
        <v>х</v>
      </c>
      <c r="BH332" s="5" t="str">
        <f t="shared" si="578"/>
        <v>х</v>
      </c>
      <c r="BI332" s="5" t="str">
        <f t="shared" si="578"/>
        <v>х</v>
      </c>
      <c r="BJ332" s="5" t="str">
        <f t="shared" si="578"/>
        <v>х</v>
      </c>
      <c r="BK332" s="5" t="str">
        <f t="shared" si="578"/>
        <v>х</v>
      </c>
      <c r="BL332" s="5" t="str">
        <f t="shared" si="578"/>
        <v>х</v>
      </c>
      <c r="BM332" s="5" t="str">
        <f t="shared" si="578"/>
        <v>х</v>
      </c>
      <c r="BN332" s="5" t="str">
        <f t="shared" si="578"/>
        <v>х</v>
      </c>
      <c r="BO332" s="5" t="str">
        <f t="shared" si="578"/>
        <v>х</v>
      </c>
      <c r="BP332" s="5" t="str">
        <f t="shared" si="578"/>
        <v>х</v>
      </c>
      <c r="BQ332" s="5" t="str">
        <f t="shared" si="578"/>
        <v>х</v>
      </c>
      <c r="BR332" s="5" t="str">
        <f>""</f>
        <v/>
      </c>
      <c r="BS332" s="5" t="str">
        <f>"50,00"</f>
        <v>50,00</v>
      </c>
      <c r="BT332" s="5" t="str">
        <f>"2019"</f>
        <v>2019</v>
      </c>
      <c r="BU332" s="5" t="str">
        <f t="shared" si="518"/>
        <v>нет</v>
      </c>
      <c r="BV332" s="5" t="str">
        <f t="shared" si="563"/>
        <v>x</v>
      </c>
      <c r="BW332" s="5" t="str">
        <f t="shared" si="563"/>
        <v>x</v>
      </c>
      <c r="BX332" s="5" t="str">
        <f t="shared" si="563"/>
        <v>x</v>
      </c>
      <c r="BY332" s="5" t="str">
        <f t="shared" ref="BY332:BY338" si="579">"нет"</f>
        <v>нет</v>
      </c>
      <c r="BZ332" s="5" t="str">
        <f t="shared" ref="BZ332:CB338" si="580">"x"</f>
        <v>x</v>
      </c>
      <c r="CA332" s="5" t="str">
        <f t="shared" si="580"/>
        <v>x</v>
      </c>
      <c r="CB332" s="5" t="str">
        <f t="shared" si="580"/>
        <v>x</v>
      </c>
      <c r="CC332" s="5" t="str">
        <f>""</f>
        <v/>
      </c>
      <c r="CD332" s="5" t="str">
        <f>"35,00"</f>
        <v>35,00</v>
      </c>
      <c r="CE332" s="5" t="str">
        <f>"2030"</f>
        <v>2030</v>
      </c>
      <c r="CF332" s="5" t="str">
        <f>""</f>
        <v/>
      </c>
      <c r="CG332" s="5" t="str">
        <f>"32,00"</f>
        <v>32,00</v>
      </c>
      <c r="CH332" s="5" t="str">
        <f>"2031"</f>
        <v>2031</v>
      </c>
      <c r="CI332" s="5" t="str">
        <f>"50,00"</f>
        <v>50,00</v>
      </c>
      <c r="CJ332" s="5" t="str">
        <f>"2042"</f>
        <v>2042</v>
      </c>
    </row>
    <row r="333" spans="1:88" ht="11.25" customHeight="1">
      <c r="A333" s="3" t="str">
        <f>"1.320"</f>
        <v>1.320</v>
      </c>
      <c r="B333" s="4" t="str">
        <f>"д. Крестовка, д.17"</f>
        <v>д. Крестовка, д.17</v>
      </c>
      <c r="C333" s="7" t="str">
        <f>"1985"</f>
        <v>1985</v>
      </c>
      <c r="D333" s="5" t="str">
        <f t="shared" ref="D333:N333" si="581">"х"</f>
        <v>х</v>
      </c>
      <c r="E333" s="5" t="str">
        <f t="shared" si="581"/>
        <v>х</v>
      </c>
      <c r="F333" s="5" t="str">
        <f t="shared" si="581"/>
        <v>х</v>
      </c>
      <c r="G333" s="5" t="str">
        <f t="shared" si="581"/>
        <v>х</v>
      </c>
      <c r="H333" s="5" t="str">
        <f t="shared" si="581"/>
        <v>х</v>
      </c>
      <c r="I333" s="5" t="str">
        <f t="shared" si="581"/>
        <v>х</v>
      </c>
      <c r="J333" s="5" t="str">
        <f t="shared" si="581"/>
        <v>х</v>
      </c>
      <c r="K333" s="5" t="str">
        <f t="shared" si="581"/>
        <v>х</v>
      </c>
      <c r="L333" s="5" t="str">
        <f t="shared" si="581"/>
        <v>х</v>
      </c>
      <c r="M333" s="5" t="str">
        <f t="shared" si="581"/>
        <v>х</v>
      </c>
      <c r="N333" s="5" t="str">
        <f t="shared" si="581"/>
        <v>х</v>
      </c>
      <c r="O333" s="8" t="str">
        <f>""</f>
        <v/>
      </c>
      <c r="P333" s="5" t="str">
        <f>"65,00"</f>
        <v>65,00</v>
      </c>
      <c r="Q333" s="5" t="str">
        <f>"2018"</f>
        <v>2018</v>
      </c>
      <c r="R333" s="5" t="str">
        <f>""</f>
        <v/>
      </c>
      <c r="S333" s="5" t="str">
        <f>""</f>
        <v/>
      </c>
      <c r="T333" s="5" t="str">
        <f>""</f>
        <v/>
      </c>
      <c r="U333" s="5" t="str">
        <f>""</f>
        <v/>
      </c>
      <c r="V333" s="5" t="str">
        <f>""</f>
        <v/>
      </c>
      <c r="W333" s="5" t="str">
        <f>""</f>
        <v/>
      </c>
      <c r="X333" s="5" t="str">
        <f>""</f>
        <v/>
      </c>
      <c r="Y333" s="9" t="str">
        <f>""</f>
        <v/>
      </c>
      <c r="Z333" s="5" t="str">
        <f t="shared" si="573"/>
        <v>х</v>
      </c>
      <c r="AA333" s="5" t="str">
        <f t="shared" si="573"/>
        <v>х</v>
      </c>
      <c r="AB333" s="5" t="str">
        <f t="shared" si="573"/>
        <v>х</v>
      </c>
      <c r="AC333" s="5" t="str">
        <f t="shared" si="573"/>
        <v>х</v>
      </c>
      <c r="AD333" s="5" t="str">
        <f t="shared" si="573"/>
        <v>х</v>
      </c>
      <c r="AE333" s="5" t="str">
        <f t="shared" si="573"/>
        <v>х</v>
      </c>
      <c r="AF333" s="5" t="str">
        <f t="shared" si="573"/>
        <v>х</v>
      </c>
      <c r="AG333" s="5" t="str">
        <f t="shared" si="573"/>
        <v>х</v>
      </c>
      <c r="AH333" s="5" t="str">
        <f t="shared" si="573"/>
        <v>х</v>
      </c>
      <c r="AI333" s="5" t="str">
        <f t="shared" si="573"/>
        <v>х</v>
      </c>
      <c r="AJ333" s="5" t="str">
        <f t="shared" si="573"/>
        <v>х</v>
      </c>
      <c r="AK333" s="8" t="str">
        <f t="shared" si="576"/>
        <v>х</v>
      </c>
      <c r="AL333" s="5" t="str">
        <f t="shared" si="576"/>
        <v>х</v>
      </c>
      <c r="AM333" s="5" t="str">
        <f t="shared" si="576"/>
        <v>х</v>
      </c>
      <c r="AN333" s="5" t="str">
        <f t="shared" si="576"/>
        <v>х</v>
      </c>
      <c r="AO333" s="5" t="str">
        <f t="shared" si="576"/>
        <v>х</v>
      </c>
      <c r="AP333" s="5" t="str">
        <f t="shared" si="576"/>
        <v>х</v>
      </c>
      <c r="AQ333" s="5" t="str">
        <f t="shared" si="576"/>
        <v>х</v>
      </c>
      <c r="AR333" s="5" t="str">
        <f t="shared" si="576"/>
        <v>х</v>
      </c>
      <c r="AS333" s="5" t="str">
        <f t="shared" si="576"/>
        <v>х</v>
      </c>
      <c r="AT333" s="5" t="str">
        <f t="shared" si="576"/>
        <v>х</v>
      </c>
      <c r="AU333" s="5" t="str">
        <f t="shared" si="577"/>
        <v>х</v>
      </c>
      <c r="AV333" s="5" t="str">
        <f t="shared" si="577"/>
        <v>х</v>
      </c>
      <c r="AW333" s="5" t="str">
        <f t="shared" si="577"/>
        <v>х</v>
      </c>
      <c r="AX333" s="5" t="str">
        <f t="shared" si="577"/>
        <v>х</v>
      </c>
      <c r="AY333" s="5" t="str">
        <f t="shared" si="577"/>
        <v>х</v>
      </c>
      <c r="AZ333" s="5" t="str">
        <f t="shared" si="577"/>
        <v>х</v>
      </c>
      <c r="BA333" s="5" t="str">
        <f t="shared" si="577"/>
        <v>х</v>
      </c>
      <c r="BB333" s="5" t="str">
        <f t="shared" si="577"/>
        <v>х</v>
      </c>
      <c r="BC333" s="5" t="str">
        <f t="shared" si="577"/>
        <v>х</v>
      </c>
      <c r="BD333" s="5" t="str">
        <f t="shared" si="577"/>
        <v>х</v>
      </c>
      <c r="BE333" s="5" t="str">
        <f t="shared" si="578"/>
        <v>х</v>
      </c>
      <c r="BF333" s="5" t="str">
        <f t="shared" si="578"/>
        <v>х</v>
      </c>
      <c r="BG333" s="5" t="str">
        <f t="shared" si="578"/>
        <v>х</v>
      </c>
      <c r="BH333" s="5" t="str">
        <f t="shared" si="578"/>
        <v>х</v>
      </c>
      <c r="BI333" s="5" t="str">
        <f t="shared" si="578"/>
        <v>х</v>
      </c>
      <c r="BJ333" s="5" t="str">
        <f t="shared" si="578"/>
        <v>х</v>
      </c>
      <c r="BK333" s="5" t="str">
        <f t="shared" si="578"/>
        <v>х</v>
      </c>
      <c r="BL333" s="5" t="str">
        <f t="shared" si="578"/>
        <v>х</v>
      </c>
      <c r="BM333" s="5" t="str">
        <f t="shared" si="578"/>
        <v>х</v>
      </c>
      <c r="BN333" s="5" t="str">
        <f t="shared" si="578"/>
        <v>х</v>
      </c>
      <c r="BO333" s="5" t="str">
        <f t="shared" si="578"/>
        <v>х</v>
      </c>
      <c r="BP333" s="5" t="str">
        <f t="shared" si="578"/>
        <v>х</v>
      </c>
      <c r="BQ333" s="5" t="str">
        <f t="shared" si="578"/>
        <v>х</v>
      </c>
      <c r="BR333" s="5" t="str">
        <f>""</f>
        <v/>
      </c>
      <c r="BS333" s="5" t="str">
        <f>"65,00"</f>
        <v>65,00</v>
      </c>
      <c r="BT333" s="5" t="str">
        <f>"2018"</f>
        <v>2018</v>
      </c>
      <c r="BU333" s="5" t="str">
        <f t="shared" si="518"/>
        <v>нет</v>
      </c>
      <c r="BV333" s="5" t="str">
        <f t="shared" si="563"/>
        <v>x</v>
      </c>
      <c r="BW333" s="5" t="str">
        <f t="shared" si="563"/>
        <v>x</v>
      </c>
      <c r="BX333" s="5" t="str">
        <f t="shared" si="563"/>
        <v>x</v>
      </c>
      <c r="BY333" s="5" t="str">
        <f t="shared" si="579"/>
        <v>нет</v>
      </c>
      <c r="BZ333" s="5" t="str">
        <f t="shared" si="580"/>
        <v>x</v>
      </c>
      <c r="CA333" s="5" t="str">
        <f t="shared" si="580"/>
        <v>x</v>
      </c>
      <c r="CB333" s="5" t="str">
        <f t="shared" si="580"/>
        <v>x</v>
      </c>
      <c r="CC333" s="5" t="str">
        <f>""</f>
        <v/>
      </c>
      <c r="CD333" s="5" t="str">
        <f>"65,00"</f>
        <v>65,00</v>
      </c>
      <c r="CE333" s="5" t="str">
        <f>"2018"</f>
        <v>2018</v>
      </c>
      <c r="CF333" s="5" t="str">
        <f>""</f>
        <v/>
      </c>
      <c r="CG333" s="5" t="str">
        <f>"65,00"</f>
        <v>65,00</v>
      </c>
      <c r="CH333" s="5" t="str">
        <f>"2018"</f>
        <v>2018</v>
      </c>
      <c r="CI333" s="5" t="str">
        <f>"65,00"</f>
        <v>65,00</v>
      </c>
      <c r="CJ333" s="5" t="str">
        <f>"2021"</f>
        <v>2021</v>
      </c>
    </row>
    <row r="334" spans="1:88" ht="11.25" customHeight="1">
      <c r="A334" s="3" t="str">
        <f>"1.321"</f>
        <v>1.321</v>
      </c>
      <c r="B334" s="4" t="str">
        <f>"д. Панфилово, д.36"</f>
        <v>д. Панфилово, д.36</v>
      </c>
      <c r="C334" s="7" t="str">
        <f>"1975"</f>
        <v>1975</v>
      </c>
      <c r="D334" s="5" t="str">
        <f>""</f>
        <v/>
      </c>
      <c r="E334" s="5" t="str">
        <f>"30,00"</f>
        <v>30,00</v>
      </c>
      <c r="F334" s="5" t="str">
        <f>"2027"</f>
        <v>2027</v>
      </c>
      <c r="G334" s="5" t="str">
        <f>"да"</f>
        <v>да</v>
      </c>
      <c r="H334" s="5" t="str">
        <f>""</f>
        <v/>
      </c>
      <c r="I334" s="5" t="str">
        <f>"20,00"</f>
        <v>20,00</v>
      </c>
      <c r="J334" s="5" t="str">
        <f>"2027"</f>
        <v>2027</v>
      </c>
      <c r="K334" s="5" t="str">
        <f>"да"</f>
        <v>да</v>
      </c>
      <c r="L334" s="5" t="str">
        <f>""</f>
        <v/>
      </c>
      <c r="M334" s="5" t="str">
        <f>"52,00"</f>
        <v>52,00</v>
      </c>
      <c r="N334" s="5" t="str">
        <f>"2016"</f>
        <v>2016</v>
      </c>
      <c r="O334" s="8" t="str">
        <f>""</f>
        <v/>
      </c>
      <c r="P334" s="5" t="str">
        <f>"30,00"</f>
        <v>30,00</v>
      </c>
      <c r="Q334" s="5" t="str">
        <f>"2029"</f>
        <v>2029</v>
      </c>
      <c r="R334" s="5" t="str">
        <f>"нет"</f>
        <v>нет</v>
      </c>
      <c r="S334" s="5" t="str">
        <f>""</f>
        <v/>
      </c>
      <c r="T334" s="5" t="str">
        <f>""</f>
        <v/>
      </c>
      <c r="U334" s="5" t="str">
        <f>""</f>
        <v/>
      </c>
      <c r="V334" s="5" t="str">
        <f>"нет"</f>
        <v>нет</v>
      </c>
      <c r="W334" s="5" t="str">
        <f>""</f>
        <v/>
      </c>
      <c r="X334" s="5" t="str">
        <f>""</f>
        <v/>
      </c>
      <c r="Y334" s="9" t="str">
        <f>""</f>
        <v/>
      </c>
      <c r="Z334" s="5" t="str">
        <f>""</f>
        <v/>
      </c>
      <c r="AA334" s="5" t="str">
        <f>"20,00"</f>
        <v>20,00</v>
      </c>
      <c r="AB334" s="5" t="str">
        <f>"2030"</f>
        <v>2030</v>
      </c>
      <c r="AC334" s="5" t="str">
        <f>"нет"</f>
        <v>нет</v>
      </c>
      <c r="AD334" s="5" t="str">
        <f>""</f>
        <v/>
      </c>
      <c r="AE334" s="5" t="str">
        <f>""</f>
        <v/>
      </c>
      <c r="AF334" s="5" t="str">
        <f>""</f>
        <v/>
      </c>
      <c r="AG334" s="5" t="str">
        <f>"нет"</f>
        <v>нет</v>
      </c>
      <c r="AH334" s="5" t="str">
        <f>""</f>
        <v/>
      </c>
      <c r="AI334" s="5" t="str">
        <f>""</f>
        <v/>
      </c>
      <c r="AJ334" s="5" t="str">
        <f>""</f>
        <v/>
      </c>
      <c r="AK334" s="8" t="str">
        <f>""</f>
        <v/>
      </c>
      <c r="AL334" s="5" t="str">
        <f>"30,00"</f>
        <v>30,00</v>
      </c>
      <c r="AM334" s="5" t="str">
        <f>"2033"</f>
        <v>2033</v>
      </c>
      <c r="AN334" s="5" t="str">
        <f>"нет"</f>
        <v>нет</v>
      </c>
      <c r="AO334" s="5" t="str">
        <f>""</f>
        <v/>
      </c>
      <c r="AP334" s="5" t="str">
        <f>""</f>
        <v/>
      </c>
      <c r="AQ334" s="5" t="str">
        <f>""</f>
        <v/>
      </c>
      <c r="AR334" s="5" t="str">
        <f>"нет"</f>
        <v>нет</v>
      </c>
      <c r="AS334" s="5" t="str">
        <f>""</f>
        <v/>
      </c>
      <c r="AT334" s="5" t="str">
        <f>""</f>
        <v/>
      </c>
      <c r="AU334" s="5" t="str">
        <f>""</f>
        <v/>
      </c>
      <c r="AV334" s="5" t="str">
        <f>""</f>
        <v/>
      </c>
      <c r="AW334" s="5" t="str">
        <f>"15,00"</f>
        <v>15,00</v>
      </c>
      <c r="AX334" s="5" t="str">
        <f>"2033"</f>
        <v>2033</v>
      </c>
      <c r="AY334" s="5" t="str">
        <f>"да"</f>
        <v>да</v>
      </c>
      <c r="AZ334" s="5" t="str">
        <f>""</f>
        <v/>
      </c>
      <c r="BA334" s="5" t="str">
        <f>"10,00"</f>
        <v>10,00</v>
      </c>
      <c r="BB334" s="5" t="str">
        <f>"2033"</f>
        <v>2033</v>
      </c>
      <c r="BC334" s="5" t="str">
        <f>"да"</f>
        <v>да</v>
      </c>
      <c r="BD334" s="5" t="str">
        <f>""</f>
        <v/>
      </c>
      <c r="BE334" s="5" t="str">
        <f>"52,00"</f>
        <v>52,00</v>
      </c>
      <c r="BF334" s="5" t="str">
        <f>"2017"</f>
        <v>2017</v>
      </c>
      <c r="BG334" s="5" t="str">
        <f>""</f>
        <v/>
      </c>
      <c r="BH334" s="5" t="str">
        <f>"35,00"</f>
        <v>35,00</v>
      </c>
      <c r="BI334" s="5" t="str">
        <f>"2029"</f>
        <v>2029</v>
      </c>
      <c r="BJ334" s="5" t="str">
        <f>"нет"</f>
        <v>нет</v>
      </c>
      <c r="BK334" s="5" t="str">
        <f>""</f>
        <v/>
      </c>
      <c r="BL334" s="5" t="str">
        <f>""</f>
        <v/>
      </c>
      <c r="BM334" s="5" t="str">
        <f>""</f>
        <v/>
      </c>
      <c r="BN334" s="5" t="str">
        <f>"нет"</f>
        <v>нет</v>
      </c>
      <c r="BO334" s="5" t="str">
        <f>""</f>
        <v/>
      </c>
      <c r="BP334" s="5" t="str">
        <f>""</f>
        <v/>
      </c>
      <c r="BQ334" s="5" t="str">
        <f>""</f>
        <v/>
      </c>
      <c r="BR334" s="5" t="str">
        <f>""</f>
        <v/>
      </c>
      <c r="BS334" s="5" t="str">
        <f>"32,00"</f>
        <v>32,00</v>
      </c>
      <c r="BT334" s="5" t="str">
        <f>"2016"</f>
        <v>2016</v>
      </c>
      <c r="BU334" s="5" t="str">
        <f t="shared" si="518"/>
        <v>нет</v>
      </c>
      <c r="BV334" s="5" t="str">
        <f t="shared" si="563"/>
        <v>x</v>
      </c>
      <c r="BW334" s="5" t="str">
        <f t="shared" si="563"/>
        <v>x</v>
      </c>
      <c r="BX334" s="5" t="str">
        <f t="shared" si="563"/>
        <v>x</v>
      </c>
      <c r="BY334" s="5" t="str">
        <f t="shared" si="579"/>
        <v>нет</v>
      </c>
      <c r="BZ334" s="5" t="str">
        <f t="shared" si="580"/>
        <v>x</v>
      </c>
      <c r="CA334" s="5" t="str">
        <f t="shared" si="580"/>
        <v>x</v>
      </c>
      <c r="CB334" s="5" t="str">
        <f t="shared" si="580"/>
        <v>x</v>
      </c>
      <c r="CC334" s="5" t="str">
        <f>""</f>
        <v/>
      </c>
      <c r="CD334" s="5" t="str">
        <f>"32,00"</f>
        <v>32,00</v>
      </c>
      <c r="CE334" s="5" t="str">
        <f>"2026"</f>
        <v>2026</v>
      </c>
      <c r="CF334" s="5" t="str">
        <f>""</f>
        <v/>
      </c>
      <c r="CG334" s="5" t="str">
        <f>"25,00"</f>
        <v>25,00</v>
      </c>
      <c r="CH334" s="5" t="str">
        <f>"2029"</f>
        <v>2029</v>
      </c>
      <c r="CI334" s="5" t="str">
        <f>"32,00"</f>
        <v>32,00</v>
      </c>
      <c r="CJ334" s="5" t="str">
        <f>"2042"</f>
        <v>2042</v>
      </c>
    </row>
    <row r="335" spans="1:88" ht="11.25" customHeight="1">
      <c r="A335" s="3" t="str">
        <f>"1.322"</f>
        <v>1.322</v>
      </c>
      <c r="B335" s="4" t="str">
        <f>"д. Панфилово, д.37"</f>
        <v>д. Панфилово, д.37</v>
      </c>
      <c r="C335" s="7" t="str">
        <f>"1997"</f>
        <v>1997</v>
      </c>
      <c r="D335" s="5" t="str">
        <f>""</f>
        <v/>
      </c>
      <c r="E335" s="5" t="str">
        <f>"12,00"</f>
        <v>12,00</v>
      </c>
      <c r="F335" s="5" t="str">
        <f>"2033"</f>
        <v>2033</v>
      </c>
      <c r="G335" s="5" t="str">
        <f>"да"</f>
        <v>да</v>
      </c>
      <c r="H335" s="5" t="str">
        <f>""</f>
        <v/>
      </c>
      <c r="I335" s="5" t="str">
        <f>"12,00"</f>
        <v>12,00</v>
      </c>
      <c r="J335" s="5" t="str">
        <f>"2033"</f>
        <v>2033</v>
      </c>
      <c r="K335" s="5" t="str">
        <f>"да"</f>
        <v>да</v>
      </c>
      <c r="L335" s="5" t="str">
        <f>""</f>
        <v/>
      </c>
      <c r="M335" s="5" t="str">
        <f>"60,00"</f>
        <v>60,00</v>
      </c>
      <c r="N335" s="5" t="str">
        <f>"2019"</f>
        <v>2019</v>
      </c>
      <c r="O335" s="8" t="str">
        <f>""</f>
        <v/>
      </c>
      <c r="P335" s="5" t="str">
        <f>"12,00"</f>
        <v>12,00</v>
      </c>
      <c r="Q335" s="5" t="str">
        <f>"2035"</f>
        <v>2035</v>
      </c>
      <c r="R335" s="5" t="str">
        <f>"нет"</f>
        <v>нет</v>
      </c>
      <c r="S335" s="5" t="str">
        <f>""</f>
        <v/>
      </c>
      <c r="T335" s="5" t="str">
        <f>""</f>
        <v/>
      </c>
      <c r="U335" s="5" t="str">
        <f>""</f>
        <v/>
      </c>
      <c r="V335" s="5" t="str">
        <f>"нет"</f>
        <v>нет</v>
      </c>
      <c r="W335" s="5" t="str">
        <f>""</f>
        <v/>
      </c>
      <c r="X335" s="5" t="str">
        <f>""</f>
        <v/>
      </c>
      <c r="Y335" s="9" t="str">
        <f>""</f>
        <v/>
      </c>
      <c r="Z335" s="5" t="str">
        <f>""</f>
        <v/>
      </c>
      <c r="AA335" s="5" t="str">
        <f>"10,00"</f>
        <v>10,00</v>
      </c>
      <c r="AB335" s="5" t="str">
        <f>"2034"</f>
        <v>2034</v>
      </c>
      <c r="AC335" s="5" t="str">
        <f>"нет"</f>
        <v>нет</v>
      </c>
      <c r="AD335" s="5" t="str">
        <f>""</f>
        <v/>
      </c>
      <c r="AE335" s="5" t="str">
        <f>""</f>
        <v/>
      </c>
      <c r="AF335" s="5" t="str">
        <f>""</f>
        <v/>
      </c>
      <c r="AG335" s="5" t="str">
        <f>"нет"</f>
        <v>нет</v>
      </c>
      <c r="AH335" s="5" t="str">
        <f>""</f>
        <v/>
      </c>
      <c r="AI335" s="5" t="str">
        <f>""</f>
        <v/>
      </c>
      <c r="AJ335" s="5" t="str">
        <f>""</f>
        <v/>
      </c>
      <c r="AK335" s="8" t="str">
        <f>""</f>
        <v/>
      </c>
      <c r="AL335" s="5" t="str">
        <f>"20,00"</f>
        <v>20,00</v>
      </c>
      <c r="AM335" s="5" t="str">
        <f>"2033"</f>
        <v>2033</v>
      </c>
      <c r="AN335" s="5" t="str">
        <f>"нет"</f>
        <v>нет</v>
      </c>
      <c r="AO335" s="5" t="str">
        <f>""</f>
        <v/>
      </c>
      <c r="AP335" s="5" t="str">
        <f>""</f>
        <v/>
      </c>
      <c r="AQ335" s="5" t="str">
        <f>""</f>
        <v/>
      </c>
      <c r="AR335" s="5" t="str">
        <f>"нет"</f>
        <v>нет</v>
      </c>
      <c r="AS335" s="5" t="str">
        <f>""</f>
        <v/>
      </c>
      <c r="AT335" s="5" t="str">
        <f>""</f>
        <v/>
      </c>
      <c r="AU335" s="5" t="str">
        <f>""</f>
        <v/>
      </c>
      <c r="AV335" s="5" t="str">
        <f>""</f>
        <v/>
      </c>
      <c r="AW335" s="5" t="str">
        <f>"20,00"</f>
        <v>20,00</v>
      </c>
      <c r="AX335" s="5" t="str">
        <f>"2033"</f>
        <v>2033</v>
      </c>
      <c r="AY335" s="5" t="str">
        <f>"да"</f>
        <v>да</v>
      </c>
      <c r="AZ335" s="5" t="str">
        <f>""</f>
        <v/>
      </c>
      <c r="BA335" s="5" t="str">
        <f>"15,00"</f>
        <v>15,00</v>
      </c>
      <c r="BB335" s="5" t="str">
        <f>"2033"</f>
        <v>2033</v>
      </c>
      <c r="BC335" s="5" t="str">
        <f>"да"</f>
        <v>да</v>
      </c>
      <c r="BD335" s="5" t="str">
        <f>""</f>
        <v/>
      </c>
      <c r="BE335" s="5" t="str">
        <f>"12,00"</f>
        <v>12,00</v>
      </c>
      <c r="BF335" s="5" t="str">
        <f>"2033"</f>
        <v>2033</v>
      </c>
      <c r="BG335" s="5" t="str">
        <f>""</f>
        <v/>
      </c>
      <c r="BH335" s="5" t="str">
        <f>"10,00"</f>
        <v>10,00</v>
      </c>
      <c r="BI335" s="5" t="str">
        <f>"2030"</f>
        <v>2030</v>
      </c>
      <c r="BJ335" s="5" t="str">
        <f>"нет"</f>
        <v>нет</v>
      </c>
      <c r="BK335" s="5" t="str">
        <f>""</f>
        <v/>
      </c>
      <c r="BL335" s="5" t="str">
        <f>""</f>
        <v/>
      </c>
      <c r="BM335" s="5" t="str">
        <f>""</f>
        <v/>
      </c>
      <c r="BN335" s="5" t="str">
        <f>"нет"</f>
        <v>нет</v>
      </c>
      <c r="BO335" s="5" t="str">
        <f>""</f>
        <v/>
      </c>
      <c r="BP335" s="5" t="str">
        <f>""</f>
        <v/>
      </c>
      <c r="BQ335" s="5" t="str">
        <f>""</f>
        <v/>
      </c>
      <c r="BR335" s="5" t="str">
        <f>""</f>
        <v/>
      </c>
      <c r="BS335" s="5" t="str">
        <f>"24,00"</f>
        <v>24,00</v>
      </c>
      <c r="BT335" s="5" t="str">
        <f>"2026"</f>
        <v>2026</v>
      </c>
      <c r="BU335" s="5" t="str">
        <f t="shared" si="518"/>
        <v>нет</v>
      </c>
      <c r="BV335" s="5" t="str">
        <f t="shared" si="563"/>
        <v>x</v>
      </c>
      <c r="BW335" s="5" t="str">
        <f t="shared" si="563"/>
        <v>x</v>
      </c>
      <c r="BX335" s="5" t="str">
        <f t="shared" si="563"/>
        <v>x</v>
      </c>
      <c r="BY335" s="5" t="str">
        <f t="shared" si="579"/>
        <v>нет</v>
      </c>
      <c r="BZ335" s="5" t="str">
        <f t="shared" si="580"/>
        <v>x</v>
      </c>
      <c r="CA335" s="5" t="str">
        <f t="shared" si="580"/>
        <v>x</v>
      </c>
      <c r="CB335" s="5" t="str">
        <f t="shared" si="580"/>
        <v>x</v>
      </c>
      <c r="CC335" s="5" t="str">
        <f>""</f>
        <v/>
      </c>
      <c r="CD335" s="5" t="str">
        <f>"10,00"</f>
        <v>10,00</v>
      </c>
      <c r="CE335" s="5" t="str">
        <f>"2035"</f>
        <v>2035</v>
      </c>
      <c r="CF335" s="5" t="str">
        <f>""</f>
        <v/>
      </c>
      <c r="CG335" s="5" t="str">
        <f>"12,00"</f>
        <v>12,00</v>
      </c>
      <c r="CH335" s="5" t="str">
        <f>"2037"</f>
        <v>2037</v>
      </c>
      <c r="CI335" s="5" t="str">
        <f>"4,00"</f>
        <v>4,00</v>
      </c>
      <c r="CJ335" s="5" t="str">
        <f>"2042"</f>
        <v>2042</v>
      </c>
    </row>
    <row r="336" spans="1:88" ht="11.25" customHeight="1">
      <c r="A336" s="3" t="str">
        <f>"1.323"</f>
        <v>1.323</v>
      </c>
      <c r="B336" s="4" t="str">
        <f>"д. Покровское, д.8"</f>
        <v>д. Покровское, д.8</v>
      </c>
      <c r="C336" s="7" t="str">
        <f>"1971"</f>
        <v>1971</v>
      </c>
      <c r="D336" s="5" t="str">
        <f t="shared" ref="D336:AI336" si="582">"х"</f>
        <v>х</v>
      </c>
      <c r="E336" s="5" t="str">
        <f t="shared" si="582"/>
        <v>х</v>
      </c>
      <c r="F336" s="5" t="str">
        <f t="shared" si="582"/>
        <v>х</v>
      </c>
      <c r="G336" s="5" t="str">
        <f t="shared" si="582"/>
        <v>х</v>
      </c>
      <c r="H336" s="5" t="str">
        <f t="shared" si="582"/>
        <v>х</v>
      </c>
      <c r="I336" s="5" t="str">
        <f t="shared" si="582"/>
        <v>х</v>
      </c>
      <c r="J336" s="5" t="str">
        <f t="shared" si="582"/>
        <v>х</v>
      </c>
      <c r="K336" s="5" t="str">
        <f t="shared" si="582"/>
        <v>х</v>
      </c>
      <c r="L336" s="5" t="str">
        <f t="shared" si="582"/>
        <v>х</v>
      </c>
      <c r="M336" s="5" t="str">
        <f t="shared" si="582"/>
        <v>х</v>
      </c>
      <c r="N336" s="5" t="str">
        <f t="shared" si="582"/>
        <v>х</v>
      </c>
      <c r="O336" s="8" t="str">
        <f t="shared" si="582"/>
        <v>х</v>
      </c>
      <c r="P336" s="5" t="str">
        <f t="shared" si="582"/>
        <v>х</v>
      </c>
      <c r="Q336" s="5" t="str">
        <f t="shared" si="582"/>
        <v>х</v>
      </c>
      <c r="R336" s="5" t="str">
        <f t="shared" si="582"/>
        <v>х</v>
      </c>
      <c r="S336" s="5" t="str">
        <f t="shared" si="582"/>
        <v>х</v>
      </c>
      <c r="T336" s="5" t="str">
        <f t="shared" si="582"/>
        <v>х</v>
      </c>
      <c r="U336" s="5" t="str">
        <f t="shared" si="582"/>
        <v>х</v>
      </c>
      <c r="V336" s="5" t="str">
        <f t="shared" si="582"/>
        <v>х</v>
      </c>
      <c r="W336" s="5" t="str">
        <f t="shared" si="582"/>
        <v>х</v>
      </c>
      <c r="X336" s="5" t="str">
        <f t="shared" si="582"/>
        <v>х</v>
      </c>
      <c r="Y336" s="9" t="str">
        <f t="shared" si="582"/>
        <v>х</v>
      </c>
      <c r="Z336" s="5" t="str">
        <f t="shared" si="582"/>
        <v>х</v>
      </c>
      <c r="AA336" s="5" t="str">
        <f t="shared" si="582"/>
        <v>х</v>
      </c>
      <c r="AB336" s="5" t="str">
        <f t="shared" si="582"/>
        <v>х</v>
      </c>
      <c r="AC336" s="5" t="str">
        <f t="shared" si="582"/>
        <v>х</v>
      </c>
      <c r="AD336" s="5" t="str">
        <f t="shared" si="582"/>
        <v>х</v>
      </c>
      <c r="AE336" s="5" t="str">
        <f t="shared" si="582"/>
        <v>х</v>
      </c>
      <c r="AF336" s="5" t="str">
        <f t="shared" si="582"/>
        <v>х</v>
      </c>
      <c r="AG336" s="5" t="str">
        <f t="shared" si="582"/>
        <v>х</v>
      </c>
      <c r="AH336" s="5" t="str">
        <f t="shared" si="582"/>
        <v>х</v>
      </c>
      <c r="AI336" s="5" t="str">
        <f t="shared" si="582"/>
        <v>х</v>
      </c>
      <c r="AJ336" s="5" t="str">
        <f t="shared" ref="AJ336:BQ336" si="583">"х"</f>
        <v>х</v>
      </c>
      <c r="AK336" s="8" t="str">
        <f t="shared" si="583"/>
        <v>х</v>
      </c>
      <c r="AL336" s="5" t="str">
        <f t="shared" si="583"/>
        <v>х</v>
      </c>
      <c r="AM336" s="5" t="str">
        <f t="shared" si="583"/>
        <v>х</v>
      </c>
      <c r="AN336" s="5" t="str">
        <f t="shared" si="583"/>
        <v>х</v>
      </c>
      <c r="AO336" s="5" t="str">
        <f t="shared" si="583"/>
        <v>х</v>
      </c>
      <c r="AP336" s="5" t="str">
        <f t="shared" si="583"/>
        <v>х</v>
      </c>
      <c r="AQ336" s="5" t="str">
        <f t="shared" si="583"/>
        <v>х</v>
      </c>
      <c r="AR336" s="5" t="str">
        <f t="shared" si="583"/>
        <v>х</v>
      </c>
      <c r="AS336" s="5" t="str">
        <f t="shared" si="583"/>
        <v>х</v>
      </c>
      <c r="AT336" s="5" t="str">
        <f t="shared" si="583"/>
        <v>х</v>
      </c>
      <c r="AU336" s="5" t="str">
        <f t="shared" si="583"/>
        <v>х</v>
      </c>
      <c r="AV336" s="5" t="str">
        <f t="shared" si="583"/>
        <v>х</v>
      </c>
      <c r="AW336" s="5" t="str">
        <f t="shared" si="583"/>
        <v>х</v>
      </c>
      <c r="AX336" s="5" t="str">
        <f t="shared" si="583"/>
        <v>х</v>
      </c>
      <c r="AY336" s="5" t="str">
        <f t="shared" si="583"/>
        <v>х</v>
      </c>
      <c r="AZ336" s="5" t="str">
        <f t="shared" si="583"/>
        <v>х</v>
      </c>
      <c r="BA336" s="5" t="str">
        <f t="shared" si="583"/>
        <v>х</v>
      </c>
      <c r="BB336" s="5" t="str">
        <f t="shared" si="583"/>
        <v>х</v>
      </c>
      <c r="BC336" s="5" t="str">
        <f t="shared" si="583"/>
        <v>х</v>
      </c>
      <c r="BD336" s="5" t="str">
        <f t="shared" si="583"/>
        <v>х</v>
      </c>
      <c r="BE336" s="5" t="str">
        <f t="shared" si="583"/>
        <v>х</v>
      </c>
      <c r="BF336" s="5" t="str">
        <f t="shared" si="583"/>
        <v>х</v>
      </c>
      <c r="BG336" s="5" t="str">
        <f t="shared" si="583"/>
        <v>х</v>
      </c>
      <c r="BH336" s="5" t="str">
        <f t="shared" si="583"/>
        <v>х</v>
      </c>
      <c r="BI336" s="5" t="str">
        <f t="shared" si="583"/>
        <v>х</v>
      </c>
      <c r="BJ336" s="5" t="str">
        <f t="shared" si="583"/>
        <v>х</v>
      </c>
      <c r="BK336" s="5" t="str">
        <f t="shared" si="583"/>
        <v>х</v>
      </c>
      <c r="BL336" s="5" t="str">
        <f t="shared" si="583"/>
        <v>х</v>
      </c>
      <c r="BM336" s="5" t="str">
        <f t="shared" si="583"/>
        <v>х</v>
      </c>
      <c r="BN336" s="5" t="str">
        <f t="shared" si="583"/>
        <v>х</v>
      </c>
      <c r="BO336" s="5" t="str">
        <f t="shared" si="583"/>
        <v>х</v>
      </c>
      <c r="BP336" s="5" t="str">
        <f t="shared" si="583"/>
        <v>х</v>
      </c>
      <c r="BQ336" s="5" t="str">
        <f t="shared" si="583"/>
        <v>х</v>
      </c>
      <c r="BR336" s="5" t="str">
        <f>""</f>
        <v/>
      </c>
      <c r="BS336" s="5" t="str">
        <f>"69,00"</f>
        <v>69,00</v>
      </c>
      <c r="BT336" s="5" t="str">
        <f>"2016"</f>
        <v>2016</v>
      </c>
      <c r="BU336" s="5" t="str">
        <f t="shared" si="518"/>
        <v>нет</v>
      </c>
      <c r="BV336" s="5" t="str">
        <f t="shared" si="563"/>
        <v>x</v>
      </c>
      <c r="BW336" s="5" t="str">
        <f t="shared" si="563"/>
        <v>x</v>
      </c>
      <c r="BX336" s="5" t="str">
        <f t="shared" si="563"/>
        <v>x</v>
      </c>
      <c r="BY336" s="5" t="str">
        <f t="shared" si="579"/>
        <v>нет</v>
      </c>
      <c r="BZ336" s="5" t="str">
        <f t="shared" si="580"/>
        <v>x</v>
      </c>
      <c r="CA336" s="5" t="str">
        <f t="shared" si="580"/>
        <v>x</v>
      </c>
      <c r="CB336" s="5" t="str">
        <f t="shared" si="580"/>
        <v>x</v>
      </c>
      <c r="CC336" s="5" t="str">
        <f>""</f>
        <v/>
      </c>
      <c r="CD336" s="5" t="str">
        <f>"35,00"</f>
        <v>35,00</v>
      </c>
      <c r="CE336" s="5" t="str">
        <f>"2032"</f>
        <v>2032</v>
      </c>
      <c r="CF336" s="5" t="str">
        <f>""</f>
        <v/>
      </c>
      <c r="CG336" s="5" t="str">
        <f>"30,00"</f>
        <v>30,00</v>
      </c>
      <c r="CH336" s="5" t="str">
        <f>"2033"</f>
        <v>2033</v>
      </c>
      <c r="CI336" s="5" t="str">
        <f>"69,00"</f>
        <v>69,00</v>
      </c>
      <c r="CJ336" s="5" t="str">
        <f>"2042"</f>
        <v>2042</v>
      </c>
    </row>
    <row r="337" spans="1:88" ht="11.25" customHeight="1">
      <c r="A337" s="3" t="str">
        <f>"1.324"</f>
        <v>1.324</v>
      </c>
      <c r="B337" s="4" t="str">
        <f>"д. Ростилово, улица. Молодежная, д.13"</f>
        <v>д. Ростилово, улица. Молодежная, д.13</v>
      </c>
      <c r="C337" s="7" t="str">
        <f>"1972"</f>
        <v>1972</v>
      </c>
      <c r="D337" s="5" t="str">
        <f>""</f>
        <v/>
      </c>
      <c r="E337" s="5" t="str">
        <f>"50,00"</f>
        <v>50,00</v>
      </c>
      <c r="F337" s="5" t="str">
        <f>"2022"</f>
        <v>2022</v>
      </c>
      <c r="G337" s="5" t="str">
        <f t="shared" ref="G337:G344" si="584">"нет"</f>
        <v>нет</v>
      </c>
      <c r="H337" s="5" t="str">
        <f>""</f>
        <v/>
      </c>
      <c r="I337" s="5" t="str">
        <f>""</f>
        <v/>
      </c>
      <c r="J337" s="5" t="str">
        <f>""</f>
        <v/>
      </c>
      <c r="K337" s="5" t="str">
        <f t="shared" ref="K337:K344" si="585">"нет"</f>
        <v>нет</v>
      </c>
      <c r="L337" s="5" t="str">
        <f>""</f>
        <v/>
      </c>
      <c r="M337" s="5" t="str">
        <f>""</f>
        <v/>
      </c>
      <c r="N337" s="5" t="str">
        <f>""</f>
        <v/>
      </c>
      <c r="O337" s="8" t="str">
        <f>""</f>
        <v/>
      </c>
      <c r="P337" s="5" t="str">
        <f>"50,00"</f>
        <v>50,00</v>
      </c>
      <c r="Q337" s="5" t="str">
        <f>"2017"</f>
        <v>2017</v>
      </c>
      <c r="R337" s="5" t="str">
        <f t="shared" ref="R337:R344" si="586">"нет"</f>
        <v>нет</v>
      </c>
      <c r="S337" s="5" t="str">
        <f>""</f>
        <v/>
      </c>
      <c r="T337" s="5" t="str">
        <f>""</f>
        <v/>
      </c>
      <c r="U337" s="5" t="str">
        <f>""</f>
        <v/>
      </c>
      <c r="V337" s="5" t="str">
        <f t="shared" ref="V337:V344" si="587">"нет"</f>
        <v>нет</v>
      </c>
      <c r="W337" s="5" t="str">
        <f>""</f>
        <v/>
      </c>
      <c r="X337" s="5" t="str">
        <f>""</f>
        <v/>
      </c>
      <c r="Y337" s="9" t="str">
        <f>""</f>
        <v/>
      </c>
      <c r="Z337" s="5" t="str">
        <f>""</f>
        <v/>
      </c>
      <c r="AA337" s="5" t="str">
        <f>"30,00"</f>
        <v>30,00</v>
      </c>
      <c r="AB337" s="5" t="str">
        <f>"2030"</f>
        <v>2030</v>
      </c>
      <c r="AC337" s="5" t="str">
        <f t="shared" ref="AC337:AC344" si="588">"нет"</f>
        <v>нет</v>
      </c>
      <c r="AD337" s="5" t="str">
        <f>""</f>
        <v/>
      </c>
      <c r="AE337" s="5" t="str">
        <f>""</f>
        <v/>
      </c>
      <c r="AF337" s="5" t="str">
        <f>""</f>
        <v/>
      </c>
      <c r="AG337" s="5" t="str">
        <f t="shared" ref="AG337:AG344" si="589">"нет"</f>
        <v>нет</v>
      </c>
      <c r="AH337" s="5" t="str">
        <f>""</f>
        <v/>
      </c>
      <c r="AI337" s="5" t="str">
        <f>""</f>
        <v/>
      </c>
      <c r="AJ337" s="5" t="str">
        <f>""</f>
        <v/>
      </c>
      <c r="AK337" s="8" t="str">
        <f>""</f>
        <v/>
      </c>
      <c r="AL337" s="5" t="str">
        <f>"50,00"</f>
        <v>50,00</v>
      </c>
      <c r="AM337" s="5" t="str">
        <f>"2017"</f>
        <v>2017</v>
      </c>
      <c r="AN337" s="5" t="str">
        <f t="shared" ref="AN337:AN344" si="590">"нет"</f>
        <v>нет</v>
      </c>
      <c r="AO337" s="5" t="str">
        <f>""</f>
        <v/>
      </c>
      <c r="AP337" s="5" t="str">
        <f>""</f>
        <v/>
      </c>
      <c r="AQ337" s="5" t="str">
        <f>""</f>
        <v/>
      </c>
      <c r="AR337" s="5" t="str">
        <f t="shared" ref="AR337:AR344" si="591">"нет"</f>
        <v>нет</v>
      </c>
      <c r="AS337" s="5" t="str">
        <f>""</f>
        <v/>
      </c>
      <c r="AT337" s="5" t="str">
        <f>""</f>
        <v/>
      </c>
      <c r="AU337" s="5" t="str">
        <f>""</f>
        <v/>
      </c>
      <c r="AV337" s="5" t="str">
        <f>""</f>
        <v/>
      </c>
      <c r="AW337" s="5" t="str">
        <f>"50,00"</f>
        <v>50,00</v>
      </c>
      <c r="AX337" s="5" t="str">
        <f>"2017"</f>
        <v>2017</v>
      </c>
      <c r="AY337" s="5" t="str">
        <f t="shared" ref="AY337:AY344" si="592">"нет"</f>
        <v>нет</v>
      </c>
      <c r="AZ337" s="5" t="str">
        <f>""</f>
        <v/>
      </c>
      <c r="BA337" s="5" t="str">
        <f>""</f>
        <v/>
      </c>
      <c r="BB337" s="5" t="str">
        <f>""</f>
        <v/>
      </c>
      <c r="BC337" s="5" t="str">
        <f t="shared" ref="BC337:BC344" si="593">"нет"</f>
        <v>нет</v>
      </c>
      <c r="BD337" s="5" t="str">
        <f>""</f>
        <v/>
      </c>
      <c r="BE337" s="5" t="str">
        <f>""</f>
        <v/>
      </c>
      <c r="BF337" s="5" t="str">
        <f>""</f>
        <v/>
      </c>
      <c r="BG337" s="5" t="str">
        <f>""</f>
        <v/>
      </c>
      <c r="BH337" s="5" t="str">
        <f>"50,00"</f>
        <v>50,00</v>
      </c>
      <c r="BI337" s="5" t="str">
        <f>"2017"</f>
        <v>2017</v>
      </c>
      <c r="BJ337" s="5" t="str">
        <f t="shared" ref="BJ337:BJ344" si="594">"нет"</f>
        <v>нет</v>
      </c>
      <c r="BK337" s="5" t="str">
        <f>""</f>
        <v/>
      </c>
      <c r="BL337" s="5" t="str">
        <f>""</f>
        <v/>
      </c>
      <c r="BM337" s="5" t="str">
        <f>""</f>
        <v/>
      </c>
      <c r="BN337" s="5" t="str">
        <f t="shared" ref="BN337:BN344" si="595">"нет"</f>
        <v>нет</v>
      </c>
      <c r="BO337" s="5" t="str">
        <f>""</f>
        <v/>
      </c>
      <c r="BP337" s="5" t="str">
        <f>""</f>
        <v/>
      </c>
      <c r="BQ337" s="5" t="str">
        <f>""</f>
        <v/>
      </c>
      <c r="BR337" s="5" t="str">
        <f>""</f>
        <v/>
      </c>
      <c r="BS337" s="5" t="str">
        <f>"50,00"</f>
        <v>50,00</v>
      </c>
      <c r="BT337" s="5" t="str">
        <f>"2017"</f>
        <v>2017</v>
      </c>
      <c r="BU337" s="5" t="str">
        <f t="shared" si="518"/>
        <v>нет</v>
      </c>
      <c r="BV337" s="5" t="str">
        <f t="shared" si="563"/>
        <v>x</v>
      </c>
      <c r="BW337" s="5" t="str">
        <f t="shared" si="563"/>
        <v>x</v>
      </c>
      <c r="BX337" s="5" t="str">
        <f t="shared" si="563"/>
        <v>x</v>
      </c>
      <c r="BY337" s="5" t="str">
        <f t="shared" si="579"/>
        <v>нет</v>
      </c>
      <c r="BZ337" s="5" t="str">
        <f t="shared" si="580"/>
        <v>x</v>
      </c>
      <c r="CA337" s="5" t="str">
        <f t="shared" si="580"/>
        <v>x</v>
      </c>
      <c r="CB337" s="5" t="str">
        <f t="shared" si="580"/>
        <v>x</v>
      </c>
      <c r="CC337" s="5" t="str">
        <f>""</f>
        <v/>
      </c>
      <c r="CD337" s="5" t="str">
        <f>"50,00"</f>
        <v>50,00</v>
      </c>
      <c r="CE337" s="5" t="str">
        <f>"2017"</f>
        <v>2017</v>
      </c>
      <c r="CF337" s="5" t="str">
        <f>""</f>
        <v/>
      </c>
      <c r="CG337" s="5" t="str">
        <f>"40,00"</f>
        <v>40,00</v>
      </c>
      <c r="CH337" s="5" t="str">
        <f>"2022"</f>
        <v>2022</v>
      </c>
      <c r="CI337" s="5" t="str">
        <f>"50,00"</f>
        <v>50,00</v>
      </c>
      <c r="CJ337" s="5" t="str">
        <f>"2022"</f>
        <v>2022</v>
      </c>
    </row>
    <row r="338" spans="1:88" ht="11.25" customHeight="1">
      <c r="A338" s="3" t="str">
        <f>"1.325"</f>
        <v>1.325</v>
      </c>
      <c r="B338" s="4" t="str">
        <f>"д. Ростилово, улица. Молодежная, д.14"</f>
        <v>д. Ростилово, улица. Молодежная, д.14</v>
      </c>
      <c r="C338" s="7" t="str">
        <f>"1974"</f>
        <v>1974</v>
      </c>
      <c r="D338" s="5" t="str">
        <f>"2013"</f>
        <v>2013</v>
      </c>
      <c r="E338" s="5" t="str">
        <f>"10,00"</f>
        <v>10,00</v>
      </c>
      <c r="F338" s="5" t="str">
        <f>"2035"</f>
        <v>2035</v>
      </c>
      <c r="G338" s="5" t="str">
        <f t="shared" si="584"/>
        <v>нет</v>
      </c>
      <c r="H338" s="5" t="str">
        <f>""</f>
        <v/>
      </c>
      <c r="I338" s="5" t="str">
        <f>""</f>
        <v/>
      </c>
      <c r="J338" s="5" t="str">
        <f>""</f>
        <v/>
      </c>
      <c r="K338" s="5" t="str">
        <f t="shared" si="585"/>
        <v>нет</v>
      </c>
      <c r="L338" s="5" t="str">
        <f>""</f>
        <v/>
      </c>
      <c r="M338" s="5" t="str">
        <f>""</f>
        <v/>
      </c>
      <c r="N338" s="5" t="str">
        <f>""</f>
        <v/>
      </c>
      <c r="O338" s="8" t="str">
        <f>""</f>
        <v/>
      </c>
      <c r="P338" s="5" t="str">
        <f>"50,00"</f>
        <v>50,00</v>
      </c>
      <c r="Q338" s="5" t="str">
        <f>"2019"</f>
        <v>2019</v>
      </c>
      <c r="R338" s="5" t="str">
        <f t="shared" si="586"/>
        <v>нет</v>
      </c>
      <c r="S338" s="5" t="str">
        <f>""</f>
        <v/>
      </c>
      <c r="T338" s="5" t="str">
        <f>""</f>
        <v/>
      </c>
      <c r="U338" s="5" t="str">
        <f>""</f>
        <v/>
      </c>
      <c r="V338" s="5" t="str">
        <f t="shared" si="587"/>
        <v>нет</v>
      </c>
      <c r="W338" s="5" t="str">
        <f>""</f>
        <v/>
      </c>
      <c r="X338" s="5" t="str">
        <f>""</f>
        <v/>
      </c>
      <c r="Y338" s="9" t="str">
        <f>""</f>
        <v/>
      </c>
      <c r="Z338" s="5" t="str">
        <f>""</f>
        <v/>
      </c>
      <c r="AA338" s="5" t="str">
        <f>"30,00"</f>
        <v>30,00</v>
      </c>
      <c r="AB338" s="5" t="str">
        <f>"2035"</f>
        <v>2035</v>
      </c>
      <c r="AC338" s="5" t="str">
        <f t="shared" si="588"/>
        <v>нет</v>
      </c>
      <c r="AD338" s="5" t="str">
        <f>""</f>
        <v/>
      </c>
      <c r="AE338" s="5" t="str">
        <f>""</f>
        <v/>
      </c>
      <c r="AF338" s="5" t="str">
        <f>""</f>
        <v/>
      </c>
      <c r="AG338" s="5" t="str">
        <f t="shared" si="589"/>
        <v>нет</v>
      </c>
      <c r="AH338" s="5" t="str">
        <f>""</f>
        <v/>
      </c>
      <c r="AI338" s="5" t="str">
        <f>""</f>
        <v/>
      </c>
      <c r="AJ338" s="5" t="str">
        <f>""</f>
        <v/>
      </c>
      <c r="AK338" s="8" t="str">
        <f>""</f>
        <v/>
      </c>
      <c r="AL338" s="5" t="str">
        <f>"48,00"</f>
        <v>48,00</v>
      </c>
      <c r="AM338" s="5" t="str">
        <f>"2017"</f>
        <v>2017</v>
      </c>
      <c r="AN338" s="5" t="str">
        <f t="shared" si="590"/>
        <v>нет</v>
      </c>
      <c r="AO338" s="5" t="str">
        <f>""</f>
        <v/>
      </c>
      <c r="AP338" s="5" t="str">
        <f>""</f>
        <v/>
      </c>
      <c r="AQ338" s="5" t="str">
        <f>""</f>
        <v/>
      </c>
      <c r="AR338" s="5" t="str">
        <f t="shared" si="591"/>
        <v>нет</v>
      </c>
      <c r="AS338" s="5" t="str">
        <f>""</f>
        <v/>
      </c>
      <c r="AT338" s="5" t="str">
        <f>""</f>
        <v/>
      </c>
      <c r="AU338" s="5" t="str">
        <f>""</f>
        <v/>
      </c>
      <c r="AV338" s="5" t="str">
        <f>""</f>
        <v/>
      </c>
      <c r="AW338" s="5" t="str">
        <f>"48,00"</f>
        <v>48,00</v>
      </c>
      <c r="AX338" s="5" t="str">
        <f>"2017"</f>
        <v>2017</v>
      </c>
      <c r="AY338" s="5" t="str">
        <f t="shared" si="592"/>
        <v>нет</v>
      </c>
      <c r="AZ338" s="5" t="str">
        <f>""</f>
        <v/>
      </c>
      <c r="BA338" s="5" t="str">
        <f>""</f>
        <v/>
      </c>
      <c r="BB338" s="5" t="str">
        <f>""</f>
        <v/>
      </c>
      <c r="BC338" s="5" t="str">
        <f t="shared" si="593"/>
        <v>нет</v>
      </c>
      <c r="BD338" s="5" t="str">
        <f>""</f>
        <v/>
      </c>
      <c r="BE338" s="5" t="str">
        <f>""</f>
        <v/>
      </c>
      <c r="BF338" s="5" t="str">
        <f>""</f>
        <v/>
      </c>
      <c r="BG338" s="5" t="str">
        <f>""</f>
        <v/>
      </c>
      <c r="BH338" s="5" t="str">
        <f>"48,00"</f>
        <v>48,00</v>
      </c>
      <c r="BI338" s="5" t="str">
        <f>"2017"</f>
        <v>2017</v>
      </c>
      <c r="BJ338" s="5" t="str">
        <f t="shared" si="594"/>
        <v>нет</v>
      </c>
      <c r="BK338" s="5" t="str">
        <f>""</f>
        <v/>
      </c>
      <c r="BL338" s="5" t="str">
        <f>""</f>
        <v/>
      </c>
      <c r="BM338" s="5" t="str">
        <f>""</f>
        <v/>
      </c>
      <c r="BN338" s="5" t="str">
        <f t="shared" si="595"/>
        <v>нет</v>
      </c>
      <c r="BO338" s="5" t="str">
        <f>""</f>
        <v/>
      </c>
      <c r="BP338" s="5" t="str">
        <f>""</f>
        <v/>
      </c>
      <c r="BQ338" s="5" t="str">
        <f>""</f>
        <v/>
      </c>
      <c r="BR338" s="5" t="str">
        <f>"2006"</f>
        <v>2006</v>
      </c>
      <c r="BS338" s="5" t="str">
        <f>"20,00"</f>
        <v>20,00</v>
      </c>
      <c r="BT338" s="5" t="str">
        <f>"2028"</f>
        <v>2028</v>
      </c>
      <c r="BU338" s="5" t="str">
        <f t="shared" si="518"/>
        <v>нет</v>
      </c>
      <c r="BV338" s="5" t="str">
        <f t="shared" si="563"/>
        <v>x</v>
      </c>
      <c r="BW338" s="5" t="str">
        <f t="shared" si="563"/>
        <v>x</v>
      </c>
      <c r="BX338" s="5" t="str">
        <f t="shared" si="563"/>
        <v>x</v>
      </c>
      <c r="BY338" s="5" t="str">
        <f t="shared" si="579"/>
        <v>нет</v>
      </c>
      <c r="BZ338" s="5" t="str">
        <f t="shared" si="580"/>
        <v>x</v>
      </c>
      <c r="CA338" s="5" t="str">
        <f t="shared" si="580"/>
        <v>x</v>
      </c>
      <c r="CB338" s="5" t="str">
        <f t="shared" si="580"/>
        <v>x</v>
      </c>
      <c r="CC338" s="5" t="str">
        <f>""</f>
        <v/>
      </c>
      <c r="CD338" s="5" t="str">
        <f>"48,00"</f>
        <v>48,00</v>
      </c>
      <c r="CE338" s="5" t="str">
        <f>"2017"</f>
        <v>2017</v>
      </c>
      <c r="CF338" s="5" t="str">
        <f>""</f>
        <v/>
      </c>
      <c r="CG338" s="5" t="str">
        <f>"30,00"</f>
        <v>30,00</v>
      </c>
      <c r="CH338" s="5" t="str">
        <f>"2036"</f>
        <v>2036</v>
      </c>
      <c r="CI338" s="5" t="str">
        <f>"48,00"</f>
        <v>48,00</v>
      </c>
      <c r="CJ338" s="5" t="str">
        <f>"2022"</f>
        <v>2022</v>
      </c>
    </row>
    <row r="339" spans="1:88" ht="11.25" customHeight="1">
      <c r="A339" s="3" t="str">
        <f>"1.326"</f>
        <v>1.326</v>
      </c>
      <c r="B339" s="4" t="str">
        <f>"д. Ростилово, улица. Молодежная, д.15"</f>
        <v>д. Ростилово, улица. Молодежная, д.15</v>
      </c>
      <c r="C339" s="7" t="str">
        <f>"1976"</f>
        <v>1976</v>
      </c>
      <c r="D339" s="5" t="str">
        <f>""</f>
        <v/>
      </c>
      <c r="E339" s="5" t="str">
        <f>"50,00"</f>
        <v>50,00</v>
      </c>
      <c r="F339" s="5" t="str">
        <f>"2022"</f>
        <v>2022</v>
      </c>
      <c r="G339" s="5" t="str">
        <f t="shared" si="584"/>
        <v>нет</v>
      </c>
      <c r="H339" s="5" t="str">
        <f>""</f>
        <v/>
      </c>
      <c r="I339" s="5" t="str">
        <f>""</f>
        <v/>
      </c>
      <c r="J339" s="5" t="str">
        <f>""</f>
        <v/>
      </c>
      <c r="K339" s="5" t="str">
        <f t="shared" si="585"/>
        <v>нет</v>
      </c>
      <c r="L339" s="5" t="str">
        <f>""</f>
        <v/>
      </c>
      <c r="M339" s="5" t="str">
        <f>""</f>
        <v/>
      </c>
      <c r="N339" s="5" t="str">
        <f>""</f>
        <v/>
      </c>
      <c r="O339" s="8" t="str">
        <f>""</f>
        <v/>
      </c>
      <c r="P339" s="5" t="str">
        <f>"50,00"</f>
        <v>50,00</v>
      </c>
      <c r="Q339" s="5" t="str">
        <f>"2020"</f>
        <v>2020</v>
      </c>
      <c r="R339" s="5" t="str">
        <f t="shared" si="586"/>
        <v>нет</v>
      </c>
      <c r="S339" s="5" t="str">
        <f>""</f>
        <v/>
      </c>
      <c r="T339" s="5" t="str">
        <f>""</f>
        <v/>
      </c>
      <c r="U339" s="5" t="str">
        <f>""</f>
        <v/>
      </c>
      <c r="V339" s="5" t="str">
        <f t="shared" si="587"/>
        <v>нет</v>
      </c>
      <c r="W339" s="5" t="str">
        <f>""</f>
        <v/>
      </c>
      <c r="X339" s="5" t="str">
        <f>""</f>
        <v/>
      </c>
      <c r="Y339" s="9" t="str">
        <f>""</f>
        <v/>
      </c>
      <c r="Z339" s="5" t="str">
        <f>""</f>
        <v/>
      </c>
      <c r="AA339" s="5" t="str">
        <f>"30,00"</f>
        <v>30,00</v>
      </c>
      <c r="AB339" s="5" t="str">
        <f>"2036"</f>
        <v>2036</v>
      </c>
      <c r="AC339" s="5" t="str">
        <f t="shared" si="588"/>
        <v>нет</v>
      </c>
      <c r="AD339" s="5" t="str">
        <f>""</f>
        <v/>
      </c>
      <c r="AE339" s="5" t="str">
        <f>""</f>
        <v/>
      </c>
      <c r="AF339" s="5" t="str">
        <f>""</f>
        <v/>
      </c>
      <c r="AG339" s="5" t="str">
        <f t="shared" si="589"/>
        <v>нет</v>
      </c>
      <c r="AH339" s="5" t="str">
        <f>""</f>
        <v/>
      </c>
      <c r="AI339" s="5" t="str">
        <f>""</f>
        <v/>
      </c>
      <c r="AJ339" s="5" t="str">
        <f>""</f>
        <v/>
      </c>
      <c r="AK339" s="8" t="str">
        <f>""</f>
        <v/>
      </c>
      <c r="AL339" s="5" t="str">
        <f>"47,00"</f>
        <v>47,00</v>
      </c>
      <c r="AM339" s="5" t="str">
        <f>"2017"</f>
        <v>2017</v>
      </c>
      <c r="AN339" s="5" t="str">
        <f t="shared" si="590"/>
        <v>нет</v>
      </c>
      <c r="AO339" s="5" t="str">
        <f>""</f>
        <v/>
      </c>
      <c r="AP339" s="5" t="str">
        <f>""</f>
        <v/>
      </c>
      <c r="AQ339" s="5" t="str">
        <f>""</f>
        <v/>
      </c>
      <c r="AR339" s="5" t="str">
        <f t="shared" si="591"/>
        <v>нет</v>
      </c>
      <c r="AS339" s="5" t="str">
        <f>""</f>
        <v/>
      </c>
      <c r="AT339" s="5" t="str">
        <f>""</f>
        <v/>
      </c>
      <c r="AU339" s="5" t="str">
        <f>""</f>
        <v/>
      </c>
      <c r="AV339" s="5" t="str">
        <f>""</f>
        <v/>
      </c>
      <c r="AW339" s="5" t="str">
        <f>"47,00"</f>
        <v>47,00</v>
      </c>
      <c r="AX339" s="5" t="str">
        <f>"2017"</f>
        <v>2017</v>
      </c>
      <c r="AY339" s="5" t="str">
        <f t="shared" si="592"/>
        <v>нет</v>
      </c>
      <c r="AZ339" s="5" t="str">
        <f>""</f>
        <v/>
      </c>
      <c r="BA339" s="5" t="str">
        <f>""</f>
        <v/>
      </c>
      <c r="BB339" s="5" t="str">
        <f>""</f>
        <v/>
      </c>
      <c r="BC339" s="5" t="str">
        <f t="shared" si="593"/>
        <v>нет</v>
      </c>
      <c r="BD339" s="5" t="str">
        <f>""</f>
        <v/>
      </c>
      <c r="BE339" s="5" t="str">
        <f>""</f>
        <v/>
      </c>
      <c r="BF339" s="5" t="str">
        <f>""</f>
        <v/>
      </c>
      <c r="BG339" s="5" t="str">
        <f>""</f>
        <v/>
      </c>
      <c r="BH339" s="5" t="str">
        <f>"47,00"</f>
        <v>47,00</v>
      </c>
      <c r="BI339" s="5" t="str">
        <f>"2017"</f>
        <v>2017</v>
      </c>
      <c r="BJ339" s="5" t="str">
        <f t="shared" si="594"/>
        <v>нет</v>
      </c>
      <c r="BK339" s="5" t="str">
        <f>""</f>
        <v/>
      </c>
      <c r="BL339" s="5" t="str">
        <f>""</f>
        <v/>
      </c>
      <c r="BM339" s="5" t="str">
        <f>""</f>
        <v/>
      </c>
      <c r="BN339" s="5" t="str">
        <f t="shared" si="595"/>
        <v>нет</v>
      </c>
      <c r="BO339" s="5" t="str">
        <f>""</f>
        <v/>
      </c>
      <c r="BP339" s="5" t="str">
        <f>""</f>
        <v/>
      </c>
      <c r="BQ339" s="5" t="str">
        <f>""</f>
        <v/>
      </c>
      <c r="BR339" s="5" t="str">
        <f>"2007"</f>
        <v>2007</v>
      </c>
      <c r="BS339" s="5" t="str">
        <f>"20,00"</f>
        <v>20,00</v>
      </c>
      <c r="BT339" s="5" t="str">
        <f>"2030"</f>
        <v>2030</v>
      </c>
      <c r="BU339" s="5" t="str">
        <f t="shared" si="518"/>
        <v>нет</v>
      </c>
      <c r="BV339" s="5" t="str">
        <f t="shared" si="563"/>
        <v>x</v>
      </c>
      <c r="BW339" s="5" t="str">
        <f t="shared" si="563"/>
        <v>x</v>
      </c>
      <c r="BX339" s="5" t="str">
        <f t="shared" si="563"/>
        <v>x</v>
      </c>
      <c r="BY339" s="5" t="str">
        <f>"да"</f>
        <v>да</v>
      </c>
      <c r="BZ339" s="5" t="str">
        <f>""</f>
        <v/>
      </c>
      <c r="CA339" s="5" t="str">
        <f>"40,00"</f>
        <v>40,00</v>
      </c>
      <c r="CB339" s="5" t="str">
        <f>"2025"</f>
        <v>2025</v>
      </c>
      <c r="CC339" s="5" t="str">
        <f>""</f>
        <v/>
      </c>
      <c r="CD339" s="5" t="str">
        <f>"30,00"</f>
        <v>30,00</v>
      </c>
      <c r="CE339" s="5" t="str">
        <f>"2035"</f>
        <v>2035</v>
      </c>
      <c r="CF339" s="5" t="str">
        <f>""</f>
        <v/>
      </c>
      <c r="CG339" s="5" t="str">
        <f>"30,00"</f>
        <v>30,00</v>
      </c>
      <c r="CH339" s="5" t="str">
        <f>"2025"</f>
        <v>2025</v>
      </c>
      <c r="CI339" s="5" t="str">
        <f>"47,00"</f>
        <v>47,00</v>
      </c>
      <c r="CJ339" s="5" t="str">
        <f>"2022"</f>
        <v>2022</v>
      </c>
    </row>
    <row r="340" spans="1:88" ht="11.25" customHeight="1">
      <c r="A340" s="3" t="str">
        <f>"1.327"</f>
        <v>1.327</v>
      </c>
      <c r="B340" s="4" t="str">
        <f>"д. Ростилово, улица. Молодежная, д.16"</f>
        <v>д. Ростилово, улица. Молодежная, д.16</v>
      </c>
      <c r="C340" s="7" t="str">
        <f>"1978"</f>
        <v>1978</v>
      </c>
      <c r="D340" s="5" t="str">
        <f>""</f>
        <v/>
      </c>
      <c r="E340" s="5" t="str">
        <f>"45,00"</f>
        <v>45,00</v>
      </c>
      <c r="F340" s="5" t="str">
        <f>"2023"</f>
        <v>2023</v>
      </c>
      <c r="G340" s="5" t="str">
        <f t="shared" si="584"/>
        <v>нет</v>
      </c>
      <c r="H340" s="5" t="str">
        <f>""</f>
        <v/>
      </c>
      <c r="I340" s="5" t="str">
        <f>""</f>
        <v/>
      </c>
      <c r="J340" s="5" t="str">
        <f>""</f>
        <v/>
      </c>
      <c r="K340" s="5" t="str">
        <f t="shared" si="585"/>
        <v>нет</v>
      </c>
      <c r="L340" s="5" t="str">
        <f>""</f>
        <v/>
      </c>
      <c r="M340" s="5" t="str">
        <f>""</f>
        <v/>
      </c>
      <c r="N340" s="5" t="str">
        <f>""</f>
        <v/>
      </c>
      <c r="O340" s="8" t="str">
        <f>""</f>
        <v/>
      </c>
      <c r="P340" s="5" t="str">
        <f>"40,00"</f>
        <v>40,00</v>
      </c>
      <c r="Q340" s="5" t="str">
        <f>"2025"</f>
        <v>2025</v>
      </c>
      <c r="R340" s="5" t="str">
        <f t="shared" si="586"/>
        <v>нет</v>
      </c>
      <c r="S340" s="5" t="str">
        <f>""</f>
        <v/>
      </c>
      <c r="T340" s="5" t="str">
        <f>""</f>
        <v/>
      </c>
      <c r="U340" s="5" t="str">
        <f>""</f>
        <v/>
      </c>
      <c r="V340" s="5" t="str">
        <f t="shared" si="587"/>
        <v>нет</v>
      </c>
      <c r="W340" s="5" t="str">
        <f>""</f>
        <v/>
      </c>
      <c r="X340" s="5" t="str">
        <f>""</f>
        <v/>
      </c>
      <c r="Y340" s="9" t="str">
        <f>""</f>
        <v/>
      </c>
      <c r="Z340" s="5" t="str">
        <f>""</f>
        <v/>
      </c>
      <c r="AA340" s="5" t="str">
        <f>"20,00"</f>
        <v>20,00</v>
      </c>
      <c r="AB340" s="5" t="str">
        <f>"2027"</f>
        <v>2027</v>
      </c>
      <c r="AC340" s="5" t="str">
        <f t="shared" si="588"/>
        <v>нет</v>
      </c>
      <c r="AD340" s="5" t="str">
        <f>""</f>
        <v/>
      </c>
      <c r="AE340" s="5" t="str">
        <f>""</f>
        <v/>
      </c>
      <c r="AF340" s="5" t="str">
        <f>""</f>
        <v/>
      </c>
      <c r="AG340" s="5" t="str">
        <f t="shared" si="589"/>
        <v>нет</v>
      </c>
      <c r="AH340" s="5" t="str">
        <f>""</f>
        <v/>
      </c>
      <c r="AI340" s="5" t="str">
        <f>""</f>
        <v/>
      </c>
      <c r="AJ340" s="5" t="str">
        <f>""</f>
        <v/>
      </c>
      <c r="AK340" s="8" t="str">
        <f>""</f>
        <v/>
      </c>
      <c r="AL340" s="5" t="str">
        <f>"46,00"</f>
        <v>46,00</v>
      </c>
      <c r="AM340" s="5" t="str">
        <f>"2017"</f>
        <v>2017</v>
      </c>
      <c r="AN340" s="5" t="str">
        <f t="shared" si="590"/>
        <v>нет</v>
      </c>
      <c r="AO340" s="5" t="str">
        <f>""</f>
        <v/>
      </c>
      <c r="AP340" s="5" t="str">
        <f>""</f>
        <v/>
      </c>
      <c r="AQ340" s="5" t="str">
        <f>""</f>
        <v/>
      </c>
      <c r="AR340" s="5" t="str">
        <f t="shared" si="591"/>
        <v>нет</v>
      </c>
      <c r="AS340" s="5" t="str">
        <f>""</f>
        <v/>
      </c>
      <c r="AT340" s="5" t="str">
        <f>""</f>
        <v/>
      </c>
      <c r="AU340" s="5" t="str">
        <f>""</f>
        <v/>
      </c>
      <c r="AV340" s="5" t="str">
        <f>""</f>
        <v/>
      </c>
      <c r="AW340" s="5" t="str">
        <f>"46,00"</f>
        <v>46,00</v>
      </c>
      <c r="AX340" s="5" t="str">
        <f>"2022"</f>
        <v>2022</v>
      </c>
      <c r="AY340" s="5" t="str">
        <f t="shared" si="592"/>
        <v>нет</v>
      </c>
      <c r="AZ340" s="5" t="str">
        <f>""</f>
        <v/>
      </c>
      <c r="BA340" s="5" t="str">
        <f>""</f>
        <v/>
      </c>
      <c r="BB340" s="5" t="str">
        <f>""</f>
        <v/>
      </c>
      <c r="BC340" s="5" t="str">
        <f t="shared" si="593"/>
        <v>нет</v>
      </c>
      <c r="BD340" s="5" t="str">
        <f>""</f>
        <v/>
      </c>
      <c r="BE340" s="5" t="str">
        <f>""</f>
        <v/>
      </c>
      <c r="BF340" s="5" t="str">
        <f>""</f>
        <v/>
      </c>
      <c r="BG340" s="5" t="str">
        <f>""</f>
        <v/>
      </c>
      <c r="BH340" s="5" t="str">
        <f>"46,00"</f>
        <v>46,00</v>
      </c>
      <c r="BI340" s="5" t="str">
        <f>"2024"</f>
        <v>2024</v>
      </c>
      <c r="BJ340" s="5" t="str">
        <f t="shared" si="594"/>
        <v>нет</v>
      </c>
      <c r="BK340" s="5" t="str">
        <f>""</f>
        <v/>
      </c>
      <c r="BL340" s="5" t="str">
        <f>""</f>
        <v/>
      </c>
      <c r="BM340" s="5" t="str">
        <f>""</f>
        <v/>
      </c>
      <c r="BN340" s="5" t="str">
        <f t="shared" si="595"/>
        <v>нет</v>
      </c>
      <c r="BO340" s="5" t="str">
        <f>""</f>
        <v/>
      </c>
      <c r="BP340" s="5" t="str">
        <f>""</f>
        <v/>
      </c>
      <c r="BQ340" s="5" t="str">
        <f>""</f>
        <v/>
      </c>
      <c r="BR340" s="5" t="str">
        <f>"2008"</f>
        <v>2008</v>
      </c>
      <c r="BS340" s="5" t="str">
        <f>"40,00"</f>
        <v>40,00</v>
      </c>
      <c r="BT340" s="5" t="str">
        <f>"2020"</f>
        <v>2020</v>
      </c>
      <c r="BU340" s="5" t="str">
        <f t="shared" si="518"/>
        <v>нет</v>
      </c>
      <c r="BV340" s="5" t="str">
        <f t="shared" ref="BV340:BX359" si="596">"x"</f>
        <v>x</v>
      </c>
      <c r="BW340" s="5" t="str">
        <f t="shared" si="596"/>
        <v>x</v>
      </c>
      <c r="BX340" s="5" t="str">
        <f t="shared" si="596"/>
        <v>x</v>
      </c>
      <c r="BY340" s="5" t="str">
        <f>"нет"</f>
        <v>нет</v>
      </c>
      <c r="BZ340" s="5" t="str">
        <f>"x"</f>
        <v>x</v>
      </c>
      <c r="CA340" s="5" t="str">
        <f>"x"</f>
        <v>x</v>
      </c>
      <c r="CB340" s="5" t="str">
        <f>"x"</f>
        <v>x</v>
      </c>
      <c r="CC340" s="5" t="str">
        <f>""</f>
        <v/>
      </c>
      <c r="CD340" s="5" t="str">
        <f>"35,00"</f>
        <v>35,00</v>
      </c>
      <c r="CE340" s="5" t="str">
        <f>"2028"</f>
        <v>2028</v>
      </c>
      <c r="CF340" s="5" t="str">
        <f>""</f>
        <v/>
      </c>
      <c r="CG340" s="5" t="str">
        <f>"32,00"</f>
        <v>32,00</v>
      </c>
      <c r="CH340" s="5" t="str">
        <f>"2029"</f>
        <v>2029</v>
      </c>
      <c r="CI340" s="5" t="str">
        <f>"46,00"</f>
        <v>46,00</v>
      </c>
      <c r="CJ340" s="5" t="str">
        <f>"2042"</f>
        <v>2042</v>
      </c>
    </row>
    <row r="341" spans="1:88" ht="11.25" customHeight="1">
      <c r="A341" s="3" t="str">
        <f>"1.328"</f>
        <v>1.328</v>
      </c>
      <c r="B341" s="4" t="str">
        <f>"д. Ростилово, улица. Молодежная, д.18"</f>
        <v>д. Ростилово, улица. Молодежная, д.18</v>
      </c>
      <c r="C341" s="7" t="str">
        <f>"1983"</f>
        <v>1983</v>
      </c>
      <c r="D341" s="5" t="str">
        <f>""</f>
        <v/>
      </c>
      <c r="E341" s="5" t="str">
        <f>"50,00"</f>
        <v>50,00</v>
      </c>
      <c r="F341" s="5" t="str">
        <f>"2020"</f>
        <v>2020</v>
      </c>
      <c r="G341" s="5" t="str">
        <f t="shared" si="584"/>
        <v>нет</v>
      </c>
      <c r="H341" s="5" t="str">
        <f>""</f>
        <v/>
      </c>
      <c r="I341" s="5" t="str">
        <f>""</f>
        <v/>
      </c>
      <c r="J341" s="5" t="str">
        <f>""</f>
        <v/>
      </c>
      <c r="K341" s="5" t="str">
        <f t="shared" si="585"/>
        <v>нет</v>
      </c>
      <c r="L341" s="5" t="str">
        <f>""</f>
        <v/>
      </c>
      <c r="M341" s="5" t="str">
        <f>""</f>
        <v/>
      </c>
      <c r="N341" s="5" t="str">
        <f>""</f>
        <v/>
      </c>
      <c r="O341" s="8" t="str">
        <f>""</f>
        <v/>
      </c>
      <c r="P341" s="5" t="str">
        <f>"50,00"</f>
        <v>50,00</v>
      </c>
      <c r="Q341" s="5" t="str">
        <f>"2020"</f>
        <v>2020</v>
      </c>
      <c r="R341" s="5" t="str">
        <f t="shared" si="586"/>
        <v>нет</v>
      </c>
      <c r="S341" s="5" t="str">
        <f>""</f>
        <v/>
      </c>
      <c r="T341" s="5" t="str">
        <f>""</f>
        <v/>
      </c>
      <c r="U341" s="5" t="str">
        <f>""</f>
        <v/>
      </c>
      <c r="V341" s="5" t="str">
        <f t="shared" si="587"/>
        <v>нет</v>
      </c>
      <c r="W341" s="5" t="str">
        <f>""</f>
        <v/>
      </c>
      <c r="X341" s="5" t="str">
        <f>""</f>
        <v/>
      </c>
      <c r="Y341" s="9" t="str">
        <f>""</f>
        <v/>
      </c>
      <c r="Z341" s="5" t="str">
        <f>""</f>
        <v/>
      </c>
      <c r="AA341" s="5" t="str">
        <f>"30,00"</f>
        <v>30,00</v>
      </c>
      <c r="AB341" s="5" t="str">
        <f>"2030"</f>
        <v>2030</v>
      </c>
      <c r="AC341" s="5" t="str">
        <f t="shared" si="588"/>
        <v>нет</v>
      </c>
      <c r="AD341" s="5" t="str">
        <f>""</f>
        <v/>
      </c>
      <c r="AE341" s="5" t="str">
        <f>""</f>
        <v/>
      </c>
      <c r="AF341" s="5" t="str">
        <f>""</f>
        <v/>
      </c>
      <c r="AG341" s="5" t="str">
        <f t="shared" si="589"/>
        <v>нет</v>
      </c>
      <c r="AH341" s="5" t="str">
        <f>""</f>
        <v/>
      </c>
      <c r="AI341" s="5" t="str">
        <f>""</f>
        <v/>
      </c>
      <c r="AJ341" s="5" t="str">
        <f>""</f>
        <v/>
      </c>
      <c r="AK341" s="8" t="str">
        <f>""</f>
        <v/>
      </c>
      <c r="AL341" s="5" t="str">
        <f>"34,00"</f>
        <v>34,00</v>
      </c>
      <c r="AM341" s="5" t="str">
        <f>"2018"</f>
        <v>2018</v>
      </c>
      <c r="AN341" s="5" t="str">
        <f t="shared" si="590"/>
        <v>нет</v>
      </c>
      <c r="AO341" s="5" t="str">
        <f>""</f>
        <v/>
      </c>
      <c r="AP341" s="5" t="str">
        <f>""</f>
        <v/>
      </c>
      <c r="AQ341" s="5" t="str">
        <f>""</f>
        <v/>
      </c>
      <c r="AR341" s="5" t="str">
        <f t="shared" si="591"/>
        <v>нет</v>
      </c>
      <c r="AS341" s="5" t="str">
        <f>""</f>
        <v/>
      </c>
      <c r="AT341" s="5" t="str">
        <f>""</f>
        <v/>
      </c>
      <c r="AU341" s="5" t="str">
        <f>""</f>
        <v/>
      </c>
      <c r="AV341" s="5" t="str">
        <f>""</f>
        <v/>
      </c>
      <c r="AW341" s="5" t="str">
        <f>"34,00"</f>
        <v>34,00</v>
      </c>
      <c r="AX341" s="5" t="str">
        <f>"2018"</f>
        <v>2018</v>
      </c>
      <c r="AY341" s="5" t="str">
        <f t="shared" si="592"/>
        <v>нет</v>
      </c>
      <c r="AZ341" s="5" t="str">
        <f>""</f>
        <v/>
      </c>
      <c r="BA341" s="5" t="str">
        <f>""</f>
        <v/>
      </c>
      <c r="BB341" s="5" t="str">
        <f>""</f>
        <v/>
      </c>
      <c r="BC341" s="5" t="str">
        <f t="shared" si="593"/>
        <v>нет</v>
      </c>
      <c r="BD341" s="5" t="str">
        <f>""</f>
        <v/>
      </c>
      <c r="BE341" s="5" t="str">
        <f>""</f>
        <v/>
      </c>
      <c r="BF341" s="5" t="str">
        <f>""</f>
        <v/>
      </c>
      <c r="BG341" s="5" t="str">
        <f>""</f>
        <v/>
      </c>
      <c r="BH341" s="5" t="str">
        <f>"34,00"</f>
        <v>34,00</v>
      </c>
      <c r="BI341" s="5" t="str">
        <f>"2018"</f>
        <v>2018</v>
      </c>
      <c r="BJ341" s="5" t="str">
        <f t="shared" si="594"/>
        <v>нет</v>
      </c>
      <c r="BK341" s="5" t="str">
        <f>""</f>
        <v/>
      </c>
      <c r="BL341" s="5" t="str">
        <f>""</f>
        <v/>
      </c>
      <c r="BM341" s="5" t="str">
        <f>""</f>
        <v/>
      </c>
      <c r="BN341" s="5" t="str">
        <f t="shared" si="595"/>
        <v>нет</v>
      </c>
      <c r="BO341" s="5" t="str">
        <f>""</f>
        <v/>
      </c>
      <c r="BP341" s="5" t="str">
        <f>""</f>
        <v/>
      </c>
      <c r="BQ341" s="5" t="str">
        <f>""</f>
        <v/>
      </c>
      <c r="BR341" s="5" t="str">
        <f>"2008"</f>
        <v>2008</v>
      </c>
      <c r="BS341" s="5" t="str">
        <f>"20,00"</f>
        <v>20,00</v>
      </c>
      <c r="BT341" s="5" t="str">
        <f>"2030"</f>
        <v>2030</v>
      </c>
      <c r="BU341" s="5" t="str">
        <f t="shared" si="518"/>
        <v>нет</v>
      </c>
      <c r="BV341" s="5" t="str">
        <f t="shared" si="596"/>
        <v>x</v>
      </c>
      <c r="BW341" s="5" t="str">
        <f t="shared" si="596"/>
        <v>x</v>
      </c>
      <c r="BX341" s="5" t="str">
        <f t="shared" si="596"/>
        <v>x</v>
      </c>
      <c r="BY341" s="5" t="str">
        <f>"да"</f>
        <v>да</v>
      </c>
      <c r="BZ341" s="5" t="str">
        <f>""</f>
        <v/>
      </c>
      <c r="CA341" s="5" t="str">
        <f>"45,00"</f>
        <v>45,00</v>
      </c>
      <c r="CB341" s="5" t="str">
        <f>"2029"</f>
        <v>2029</v>
      </c>
      <c r="CC341" s="5" t="str">
        <f>""</f>
        <v/>
      </c>
      <c r="CD341" s="5" t="str">
        <f>"40,00"</f>
        <v>40,00</v>
      </c>
      <c r="CE341" s="5" t="str">
        <f>"2030"</f>
        <v>2030</v>
      </c>
      <c r="CF341" s="5" t="str">
        <f>""</f>
        <v/>
      </c>
      <c r="CG341" s="5" t="str">
        <f>"40,00"</f>
        <v>40,00</v>
      </c>
      <c r="CH341" s="5" t="str">
        <f>"2030"</f>
        <v>2030</v>
      </c>
      <c r="CI341" s="5" t="str">
        <f>"34,00"</f>
        <v>34,00</v>
      </c>
      <c r="CJ341" s="5" t="str">
        <f>"2023"</f>
        <v>2023</v>
      </c>
    </row>
    <row r="342" spans="1:88" ht="11.25" customHeight="1">
      <c r="A342" s="3" t="str">
        <f>"1.329"</f>
        <v>1.329</v>
      </c>
      <c r="B342" s="4" t="str">
        <f>"д. Ростилово, улица. Молодежная, д.19"</f>
        <v>д. Ростилово, улица. Молодежная, д.19</v>
      </c>
      <c r="C342" s="7" t="str">
        <f>"1986"</f>
        <v>1986</v>
      </c>
      <c r="D342" s="5" t="str">
        <f>""</f>
        <v/>
      </c>
      <c r="E342" s="5" t="str">
        <f>"45,00"</f>
        <v>45,00</v>
      </c>
      <c r="F342" s="5" t="str">
        <f>"2020"</f>
        <v>2020</v>
      </c>
      <c r="G342" s="5" t="str">
        <f t="shared" si="584"/>
        <v>нет</v>
      </c>
      <c r="H342" s="5" t="str">
        <f>""</f>
        <v/>
      </c>
      <c r="I342" s="5" t="str">
        <f>""</f>
        <v/>
      </c>
      <c r="J342" s="5" t="str">
        <f>""</f>
        <v/>
      </c>
      <c r="K342" s="5" t="str">
        <f t="shared" si="585"/>
        <v>нет</v>
      </c>
      <c r="L342" s="5" t="str">
        <f>""</f>
        <v/>
      </c>
      <c r="M342" s="5" t="str">
        <f>""</f>
        <v/>
      </c>
      <c r="N342" s="5" t="str">
        <f>""</f>
        <v/>
      </c>
      <c r="O342" s="8" t="str">
        <f>""</f>
        <v/>
      </c>
      <c r="P342" s="5" t="str">
        <f>"45,00"</f>
        <v>45,00</v>
      </c>
      <c r="Q342" s="5" t="str">
        <f>"2020"</f>
        <v>2020</v>
      </c>
      <c r="R342" s="5" t="str">
        <f t="shared" si="586"/>
        <v>нет</v>
      </c>
      <c r="S342" s="5" t="str">
        <f>""</f>
        <v/>
      </c>
      <c r="T342" s="5" t="str">
        <f>""</f>
        <v/>
      </c>
      <c r="U342" s="5" t="str">
        <f>""</f>
        <v/>
      </c>
      <c r="V342" s="5" t="str">
        <f t="shared" si="587"/>
        <v>нет</v>
      </c>
      <c r="W342" s="5" t="str">
        <f>""</f>
        <v/>
      </c>
      <c r="X342" s="5" t="str">
        <f>""</f>
        <v/>
      </c>
      <c r="Y342" s="9" t="str">
        <f>""</f>
        <v/>
      </c>
      <c r="Z342" s="5" t="str">
        <f>""</f>
        <v/>
      </c>
      <c r="AA342" s="5" t="str">
        <f>"45,00"</f>
        <v>45,00</v>
      </c>
      <c r="AB342" s="5" t="str">
        <f>"2020"</f>
        <v>2020</v>
      </c>
      <c r="AC342" s="5" t="str">
        <f t="shared" si="588"/>
        <v>нет</v>
      </c>
      <c r="AD342" s="5" t="str">
        <f>""</f>
        <v/>
      </c>
      <c r="AE342" s="5" t="str">
        <f>""</f>
        <v/>
      </c>
      <c r="AF342" s="5" t="str">
        <f>""</f>
        <v/>
      </c>
      <c r="AG342" s="5" t="str">
        <f t="shared" si="589"/>
        <v>нет</v>
      </c>
      <c r="AH342" s="5" t="str">
        <f>""</f>
        <v/>
      </c>
      <c r="AI342" s="5" t="str">
        <f>""</f>
        <v/>
      </c>
      <c r="AJ342" s="5" t="str">
        <f>""</f>
        <v/>
      </c>
      <c r="AK342" s="8" t="str">
        <f>""</f>
        <v/>
      </c>
      <c r="AL342" s="5" t="str">
        <f>"19,00"</f>
        <v>19,00</v>
      </c>
      <c r="AM342" s="5" t="str">
        <f>"2018"</f>
        <v>2018</v>
      </c>
      <c r="AN342" s="5" t="str">
        <f t="shared" si="590"/>
        <v>нет</v>
      </c>
      <c r="AO342" s="5" t="str">
        <f>""</f>
        <v/>
      </c>
      <c r="AP342" s="5" t="str">
        <f>""</f>
        <v/>
      </c>
      <c r="AQ342" s="5" t="str">
        <f>""</f>
        <v/>
      </c>
      <c r="AR342" s="5" t="str">
        <f t="shared" si="591"/>
        <v>нет</v>
      </c>
      <c r="AS342" s="5" t="str">
        <f>""</f>
        <v/>
      </c>
      <c r="AT342" s="5" t="str">
        <f>""</f>
        <v/>
      </c>
      <c r="AU342" s="5" t="str">
        <f>""</f>
        <v/>
      </c>
      <c r="AV342" s="5" t="str">
        <f>""</f>
        <v/>
      </c>
      <c r="AW342" s="5" t="str">
        <f>"19,00"</f>
        <v>19,00</v>
      </c>
      <c r="AX342" s="5" t="str">
        <f>"2018"</f>
        <v>2018</v>
      </c>
      <c r="AY342" s="5" t="str">
        <f t="shared" si="592"/>
        <v>нет</v>
      </c>
      <c r="AZ342" s="5" t="str">
        <f>""</f>
        <v/>
      </c>
      <c r="BA342" s="5" t="str">
        <f>""</f>
        <v/>
      </c>
      <c r="BB342" s="5" t="str">
        <f>""</f>
        <v/>
      </c>
      <c r="BC342" s="5" t="str">
        <f t="shared" si="593"/>
        <v>нет</v>
      </c>
      <c r="BD342" s="5" t="str">
        <f>""</f>
        <v/>
      </c>
      <c r="BE342" s="5" t="str">
        <f>""</f>
        <v/>
      </c>
      <c r="BF342" s="5" t="str">
        <f>""</f>
        <v/>
      </c>
      <c r="BG342" s="5" t="str">
        <f>""</f>
        <v/>
      </c>
      <c r="BH342" s="5" t="str">
        <f>"19,00"</f>
        <v>19,00</v>
      </c>
      <c r="BI342" s="5" t="str">
        <f>"2018"</f>
        <v>2018</v>
      </c>
      <c r="BJ342" s="5" t="str">
        <f t="shared" si="594"/>
        <v>нет</v>
      </c>
      <c r="BK342" s="5" t="str">
        <f>""</f>
        <v/>
      </c>
      <c r="BL342" s="5" t="str">
        <f>""</f>
        <v/>
      </c>
      <c r="BM342" s="5" t="str">
        <f>""</f>
        <v/>
      </c>
      <c r="BN342" s="5" t="str">
        <f t="shared" si="595"/>
        <v>нет</v>
      </c>
      <c r="BO342" s="5" t="str">
        <f>""</f>
        <v/>
      </c>
      <c r="BP342" s="5" t="str">
        <f>""</f>
        <v/>
      </c>
      <c r="BQ342" s="5" t="str">
        <f>""</f>
        <v/>
      </c>
      <c r="BR342" s="5" t="str">
        <f>""</f>
        <v/>
      </c>
      <c r="BS342" s="5" t="str">
        <f>"19,00"</f>
        <v>19,00</v>
      </c>
      <c r="BT342" s="5" t="str">
        <f>"2019"</f>
        <v>2019</v>
      </c>
      <c r="BU342" s="5" t="str">
        <f t="shared" si="518"/>
        <v>нет</v>
      </c>
      <c r="BV342" s="5" t="str">
        <f t="shared" si="596"/>
        <v>x</v>
      </c>
      <c r="BW342" s="5" t="str">
        <f t="shared" si="596"/>
        <v>x</v>
      </c>
      <c r="BX342" s="5" t="str">
        <f t="shared" si="596"/>
        <v>x</v>
      </c>
      <c r="BY342" s="5" t="str">
        <f>"да"</f>
        <v>да</v>
      </c>
      <c r="BZ342" s="5" t="str">
        <f>""</f>
        <v/>
      </c>
      <c r="CA342" s="5" t="str">
        <f>"45,00"</f>
        <v>45,00</v>
      </c>
      <c r="CB342" s="5" t="str">
        <f>"2020"</f>
        <v>2020</v>
      </c>
      <c r="CC342" s="5" t="str">
        <f>""</f>
        <v/>
      </c>
      <c r="CD342" s="5" t="str">
        <f>"40,00"</f>
        <v>40,00</v>
      </c>
      <c r="CE342" s="5" t="str">
        <f>"2022"</f>
        <v>2022</v>
      </c>
      <c r="CF342" s="5" t="str">
        <f>""</f>
        <v/>
      </c>
      <c r="CG342" s="5" t="str">
        <f>"40,00"</f>
        <v>40,00</v>
      </c>
      <c r="CH342" s="5" t="str">
        <f>"2022"</f>
        <v>2022</v>
      </c>
      <c r="CI342" s="5" t="str">
        <f>"19,00"</f>
        <v>19,00</v>
      </c>
      <c r="CJ342" s="5" t="str">
        <f>"2023"</f>
        <v>2023</v>
      </c>
    </row>
    <row r="343" spans="1:88" ht="11.25" customHeight="1">
      <c r="A343" s="3" t="str">
        <f>"1.330"</f>
        <v>1.330</v>
      </c>
      <c r="B343" s="4" t="str">
        <f>"д. Ростилово, улица. Молодежная, д.2"</f>
        <v>д. Ростилово, улица. Молодежная, д.2</v>
      </c>
      <c r="C343" s="7" t="str">
        <f>"1984"</f>
        <v>1984</v>
      </c>
      <c r="D343" s="5" t="str">
        <f>""</f>
        <v/>
      </c>
      <c r="E343" s="5" t="str">
        <f>"45,00"</f>
        <v>45,00</v>
      </c>
      <c r="F343" s="5" t="str">
        <f>"2020"</f>
        <v>2020</v>
      </c>
      <c r="G343" s="5" t="str">
        <f t="shared" si="584"/>
        <v>нет</v>
      </c>
      <c r="H343" s="5" t="str">
        <f>""</f>
        <v/>
      </c>
      <c r="I343" s="5" t="str">
        <f>""</f>
        <v/>
      </c>
      <c r="J343" s="5" t="str">
        <f>""</f>
        <v/>
      </c>
      <c r="K343" s="5" t="str">
        <f t="shared" si="585"/>
        <v>нет</v>
      </c>
      <c r="L343" s="5" t="str">
        <f>""</f>
        <v/>
      </c>
      <c r="M343" s="5" t="str">
        <f>""</f>
        <v/>
      </c>
      <c r="N343" s="5" t="str">
        <f>""</f>
        <v/>
      </c>
      <c r="O343" s="8" t="str">
        <f>""</f>
        <v/>
      </c>
      <c r="P343" s="5" t="str">
        <f>"45,00"</f>
        <v>45,00</v>
      </c>
      <c r="Q343" s="5" t="str">
        <f>"2020"</f>
        <v>2020</v>
      </c>
      <c r="R343" s="5" t="str">
        <f t="shared" si="586"/>
        <v>нет</v>
      </c>
      <c r="S343" s="5" t="str">
        <f>""</f>
        <v/>
      </c>
      <c r="T343" s="5" t="str">
        <f>""</f>
        <v/>
      </c>
      <c r="U343" s="5" t="str">
        <f>""</f>
        <v/>
      </c>
      <c r="V343" s="5" t="str">
        <f t="shared" si="587"/>
        <v>нет</v>
      </c>
      <c r="W343" s="5" t="str">
        <f>""</f>
        <v/>
      </c>
      <c r="X343" s="5" t="str">
        <f>""</f>
        <v/>
      </c>
      <c r="Y343" s="9" t="str">
        <f>""</f>
        <v/>
      </c>
      <c r="Z343" s="5" t="str">
        <f>""</f>
        <v/>
      </c>
      <c r="AA343" s="5" t="str">
        <f>"50,00"</f>
        <v>50,00</v>
      </c>
      <c r="AB343" s="5" t="str">
        <f>"2020"</f>
        <v>2020</v>
      </c>
      <c r="AC343" s="5" t="str">
        <f t="shared" si="588"/>
        <v>нет</v>
      </c>
      <c r="AD343" s="5" t="str">
        <f>""</f>
        <v/>
      </c>
      <c r="AE343" s="5" t="str">
        <f>""</f>
        <v/>
      </c>
      <c r="AF343" s="5" t="str">
        <f>""</f>
        <v/>
      </c>
      <c r="AG343" s="5" t="str">
        <f t="shared" si="589"/>
        <v>нет</v>
      </c>
      <c r="AH343" s="5" t="str">
        <f>""</f>
        <v/>
      </c>
      <c r="AI343" s="5" t="str">
        <f>""</f>
        <v/>
      </c>
      <c r="AJ343" s="5" t="str">
        <f>""</f>
        <v/>
      </c>
      <c r="AK343" s="8" t="str">
        <f>""</f>
        <v/>
      </c>
      <c r="AL343" s="5" t="str">
        <f>"39,00"</f>
        <v>39,00</v>
      </c>
      <c r="AM343" s="5" t="str">
        <f>"2017"</f>
        <v>2017</v>
      </c>
      <c r="AN343" s="5" t="str">
        <f t="shared" si="590"/>
        <v>нет</v>
      </c>
      <c r="AO343" s="5" t="str">
        <f>""</f>
        <v/>
      </c>
      <c r="AP343" s="5" t="str">
        <f>""</f>
        <v/>
      </c>
      <c r="AQ343" s="5" t="str">
        <f>""</f>
        <v/>
      </c>
      <c r="AR343" s="5" t="str">
        <f t="shared" si="591"/>
        <v>нет</v>
      </c>
      <c r="AS343" s="5" t="str">
        <f>""</f>
        <v/>
      </c>
      <c r="AT343" s="5" t="str">
        <f>""</f>
        <v/>
      </c>
      <c r="AU343" s="5" t="str">
        <f>""</f>
        <v/>
      </c>
      <c r="AV343" s="5" t="str">
        <f>""</f>
        <v/>
      </c>
      <c r="AW343" s="5" t="str">
        <f>"39,00"</f>
        <v>39,00</v>
      </c>
      <c r="AX343" s="5" t="str">
        <f>"2017"</f>
        <v>2017</v>
      </c>
      <c r="AY343" s="5" t="str">
        <f t="shared" si="592"/>
        <v>нет</v>
      </c>
      <c r="AZ343" s="5" t="str">
        <f>""</f>
        <v/>
      </c>
      <c r="BA343" s="5" t="str">
        <f>""</f>
        <v/>
      </c>
      <c r="BB343" s="5" t="str">
        <f>""</f>
        <v/>
      </c>
      <c r="BC343" s="5" t="str">
        <f t="shared" si="593"/>
        <v>нет</v>
      </c>
      <c r="BD343" s="5" t="str">
        <f>""</f>
        <v/>
      </c>
      <c r="BE343" s="5" t="str">
        <f>""</f>
        <v/>
      </c>
      <c r="BF343" s="5" t="str">
        <f>""</f>
        <v/>
      </c>
      <c r="BG343" s="5" t="str">
        <f>""</f>
        <v/>
      </c>
      <c r="BH343" s="5" t="str">
        <f>"39,00"</f>
        <v>39,00</v>
      </c>
      <c r="BI343" s="5" t="str">
        <f>"2017"</f>
        <v>2017</v>
      </c>
      <c r="BJ343" s="5" t="str">
        <f t="shared" si="594"/>
        <v>нет</v>
      </c>
      <c r="BK343" s="5" t="str">
        <f>""</f>
        <v/>
      </c>
      <c r="BL343" s="5" t="str">
        <f>""</f>
        <v/>
      </c>
      <c r="BM343" s="5" t="str">
        <f>""</f>
        <v/>
      </c>
      <c r="BN343" s="5" t="str">
        <f t="shared" si="595"/>
        <v>нет</v>
      </c>
      <c r="BO343" s="5" t="str">
        <f>""</f>
        <v/>
      </c>
      <c r="BP343" s="5" t="str">
        <f>""</f>
        <v/>
      </c>
      <c r="BQ343" s="5" t="str">
        <f>""</f>
        <v/>
      </c>
      <c r="BR343" s="5" t="str">
        <f>""</f>
        <v/>
      </c>
      <c r="BS343" s="5" t="str">
        <f>"39,00"</f>
        <v>39,00</v>
      </c>
      <c r="BT343" s="5" t="str">
        <f>"2020"</f>
        <v>2020</v>
      </c>
      <c r="BU343" s="5" t="str">
        <f t="shared" si="518"/>
        <v>нет</v>
      </c>
      <c r="BV343" s="5" t="str">
        <f t="shared" si="596"/>
        <v>x</v>
      </c>
      <c r="BW343" s="5" t="str">
        <f t="shared" si="596"/>
        <v>x</v>
      </c>
      <c r="BX343" s="5" t="str">
        <f t="shared" si="596"/>
        <v>x</v>
      </c>
      <c r="BY343" s="5" t="str">
        <f>"да"</f>
        <v>да</v>
      </c>
      <c r="BZ343" s="5" t="str">
        <f>""</f>
        <v/>
      </c>
      <c r="CA343" s="5" t="str">
        <f>"45,00"</f>
        <v>45,00</v>
      </c>
      <c r="CB343" s="5" t="str">
        <f>"2022"</f>
        <v>2022</v>
      </c>
      <c r="CC343" s="5" t="str">
        <f>""</f>
        <v/>
      </c>
      <c r="CD343" s="5" t="str">
        <f>"45,00"</f>
        <v>45,00</v>
      </c>
      <c r="CE343" s="5" t="str">
        <f>"2022"</f>
        <v>2022</v>
      </c>
      <c r="CF343" s="5" t="str">
        <f>""</f>
        <v/>
      </c>
      <c r="CG343" s="5" t="str">
        <f>"45,00"</f>
        <v>45,00</v>
      </c>
      <c r="CH343" s="5" t="str">
        <f>"2022"</f>
        <v>2022</v>
      </c>
      <c r="CI343" s="5" t="str">
        <f>"39,00"</f>
        <v>39,00</v>
      </c>
      <c r="CJ343" s="5" t="str">
        <f>"2022"</f>
        <v>2022</v>
      </c>
    </row>
    <row r="344" spans="1:88" ht="11.25" customHeight="1">
      <c r="A344" s="3" t="str">
        <f>"1.331"</f>
        <v>1.331</v>
      </c>
      <c r="B344" s="4" t="str">
        <f>"д. Ростилово, улица. Молодежная, д.20"</f>
        <v>д. Ростилово, улица. Молодежная, д.20</v>
      </c>
      <c r="C344" s="7" t="str">
        <f>"1986"</f>
        <v>1986</v>
      </c>
      <c r="D344" s="5" t="str">
        <f>""</f>
        <v/>
      </c>
      <c r="E344" s="5" t="str">
        <f>"45,00"</f>
        <v>45,00</v>
      </c>
      <c r="F344" s="5" t="str">
        <f>"2020"</f>
        <v>2020</v>
      </c>
      <c r="G344" s="5" t="str">
        <f t="shared" si="584"/>
        <v>нет</v>
      </c>
      <c r="H344" s="5" t="str">
        <f>""</f>
        <v/>
      </c>
      <c r="I344" s="5" t="str">
        <f>""</f>
        <v/>
      </c>
      <c r="J344" s="5" t="str">
        <f>""</f>
        <v/>
      </c>
      <c r="K344" s="5" t="str">
        <f t="shared" si="585"/>
        <v>нет</v>
      </c>
      <c r="L344" s="5" t="str">
        <f>""</f>
        <v/>
      </c>
      <c r="M344" s="5" t="str">
        <f>""</f>
        <v/>
      </c>
      <c r="N344" s="5" t="str">
        <f>""</f>
        <v/>
      </c>
      <c r="O344" s="8" t="str">
        <f>""</f>
        <v/>
      </c>
      <c r="P344" s="5" t="str">
        <f>"45,00"</f>
        <v>45,00</v>
      </c>
      <c r="Q344" s="5" t="str">
        <f>"2020"</f>
        <v>2020</v>
      </c>
      <c r="R344" s="5" t="str">
        <f t="shared" si="586"/>
        <v>нет</v>
      </c>
      <c r="S344" s="5" t="str">
        <f>""</f>
        <v/>
      </c>
      <c r="T344" s="5" t="str">
        <f>""</f>
        <v/>
      </c>
      <c r="U344" s="5" t="str">
        <f>""</f>
        <v/>
      </c>
      <c r="V344" s="5" t="str">
        <f t="shared" si="587"/>
        <v>нет</v>
      </c>
      <c r="W344" s="5" t="str">
        <f>""</f>
        <v/>
      </c>
      <c r="X344" s="5" t="str">
        <f>""</f>
        <v/>
      </c>
      <c r="Y344" s="9" t="str">
        <f>""</f>
        <v/>
      </c>
      <c r="Z344" s="5" t="str">
        <f>""</f>
        <v/>
      </c>
      <c r="AA344" s="5" t="str">
        <f>"45,00"</f>
        <v>45,00</v>
      </c>
      <c r="AB344" s="5" t="str">
        <f>"2020"</f>
        <v>2020</v>
      </c>
      <c r="AC344" s="5" t="str">
        <f t="shared" si="588"/>
        <v>нет</v>
      </c>
      <c r="AD344" s="5" t="str">
        <f>""</f>
        <v/>
      </c>
      <c r="AE344" s="5" t="str">
        <f>""</f>
        <v/>
      </c>
      <c r="AF344" s="5" t="str">
        <f>""</f>
        <v/>
      </c>
      <c r="AG344" s="5" t="str">
        <f t="shared" si="589"/>
        <v>нет</v>
      </c>
      <c r="AH344" s="5" t="str">
        <f>""</f>
        <v/>
      </c>
      <c r="AI344" s="5" t="str">
        <f>""</f>
        <v/>
      </c>
      <c r="AJ344" s="5" t="str">
        <f>""</f>
        <v/>
      </c>
      <c r="AK344" s="8" t="str">
        <f>""</f>
        <v/>
      </c>
      <c r="AL344" s="5" t="str">
        <f>"19,00"</f>
        <v>19,00</v>
      </c>
      <c r="AM344" s="5" t="str">
        <f>"2018"</f>
        <v>2018</v>
      </c>
      <c r="AN344" s="5" t="str">
        <f t="shared" si="590"/>
        <v>нет</v>
      </c>
      <c r="AO344" s="5" t="str">
        <f>""</f>
        <v/>
      </c>
      <c r="AP344" s="5" t="str">
        <f>""</f>
        <v/>
      </c>
      <c r="AQ344" s="5" t="str">
        <f>""</f>
        <v/>
      </c>
      <c r="AR344" s="5" t="str">
        <f t="shared" si="591"/>
        <v>нет</v>
      </c>
      <c r="AS344" s="5" t="str">
        <f>""</f>
        <v/>
      </c>
      <c r="AT344" s="5" t="str">
        <f>""</f>
        <v/>
      </c>
      <c r="AU344" s="5" t="str">
        <f>""</f>
        <v/>
      </c>
      <c r="AV344" s="5" t="str">
        <f>""</f>
        <v/>
      </c>
      <c r="AW344" s="5" t="str">
        <f>"19,00"</f>
        <v>19,00</v>
      </c>
      <c r="AX344" s="5" t="str">
        <f>"2018"</f>
        <v>2018</v>
      </c>
      <c r="AY344" s="5" t="str">
        <f t="shared" si="592"/>
        <v>нет</v>
      </c>
      <c r="AZ344" s="5" t="str">
        <f>""</f>
        <v/>
      </c>
      <c r="BA344" s="5" t="str">
        <f>""</f>
        <v/>
      </c>
      <c r="BB344" s="5" t="str">
        <f>""</f>
        <v/>
      </c>
      <c r="BC344" s="5" t="str">
        <f t="shared" si="593"/>
        <v>нет</v>
      </c>
      <c r="BD344" s="5" t="str">
        <f>""</f>
        <v/>
      </c>
      <c r="BE344" s="5" t="str">
        <f>""</f>
        <v/>
      </c>
      <c r="BF344" s="5" t="str">
        <f>""</f>
        <v/>
      </c>
      <c r="BG344" s="5" t="str">
        <f>""</f>
        <v/>
      </c>
      <c r="BH344" s="5" t="str">
        <f>"19,00"</f>
        <v>19,00</v>
      </c>
      <c r="BI344" s="5" t="str">
        <f>"2018"</f>
        <v>2018</v>
      </c>
      <c r="BJ344" s="5" t="str">
        <f t="shared" si="594"/>
        <v>нет</v>
      </c>
      <c r="BK344" s="5" t="str">
        <f>""</f>
        <v/>
      </c>
      <c r="BL344" s="5" t="str">
        <f>""</f>
        <v/>
      </c>
      <c r="BM344" s="5" t="str">
        <f>""</f>
        <v/>
      </c>
      <c r="BN344" s="5" t="str">
        <f t="shared" si="595"/>
        <v>нет</v>
      </c>
      <c r="BO344" s="5" t="str">
        <f>""</f>
        <v/>
      </c>
      <c r="BP344" s="5" t="str">
        <f>""</f>
        <v/>
      </c>
      <c r="BQ344" s="5" t="str">
        <f>""</f>
        <v/>
      </c>
      <c r="BR344" s="5" t="str">
        <f>""</f>
        <v/>
      </c>
      <c r="BS344" s="5" t="str">
        <f>"19,00"</f>
        <v>19,00</v>
      </c>
      <c r="BT344" s="5" t="str">
        <f>"2019"</f>
        <v>2019</v>
      </c>
      <c r="BU344" s="5" t="str">
        <f t="shared" si="518"/>
        <v>нет</v>
      </c>
      <c r="BV344" s="5" t="str">
        <f t="shared" si="596"/>
        <v>x</v>
      </c>
      <c r="BW344" s="5" t="str">
        <f t="shared" si="596"/>
        <v>x</v>
      </c>
      <c r="BX344" s="5" t="str">
        <f t="shared" si="596"/>
        <v>x</v>
      </c>
      <c r="BY344" s="5" t="str">
        <f>"да"</f>
        <v>да</v>
      </c>
      <c r="BZ344" s="5" t="str">
        <f>""</f>
        <v/>
      </c>
      <c r="CA344" s="5" t="str">
        <f>"45,00"</f>
        <v>45,00</v>
      </c>
      <c r="CB344" s="5" t="str">
        <f>"2022"</f>
        <v>2022</v>
      </c>
      <c r="CC344" s="5" t="str">
        <f>""</f>
        <v/>
      </c>
      <c r="CD344" s="5" t="str">
        <f>"45,00"</f>
        <v>45,00</v>
      </c>
      <c r="CE344" s="5" t="str">
        <f>"2022"</f>
        <v>2022</v>
      </c>
      <c r="CF344" s="5" t="str">
        <f>""</f>
        <v/>
      </c>
      <c r="CG344" s="5" t="str">
        <f>"45,00"</f>
        <v>45,00</v>
      </c>
      <c r="CH344" s="5" t="str">
        <f>"2022"</f>
        <v>2022</v>
      </c>
      <c r="CI344" s="5" t="str">
        <f>"19,00"</f>
        <v>19,00</v>
      </c>
      <c r="CJ344" s="5" t="str">
        <f>"2022"</f>
        <v>2022</v>
      </c>
    </row>
    <row r="345" spans="1:88" ht="11.25" customHeight="1">
      <c r="A345" s="3" t="str">
        <f>"1.332"</f>
        <v>1.332</v>
      </c>
      <c r="B345" s="4" t="str">
        <f>"д. Ростилово, улица. Центральная, д.16"</f>
        <v>д. Ростилово, улица. Центральная, д.16</v>
      </c>
      <c r="C345" s="7" t="str">
        <f>"1978"</f>
        <v>1978</v>
      </c>
      <c r="D345" s="5" t="str">
        <f t="shared" ref="D345:N347" si="597">"х"</f>
        <v>х</v>
      </c>
      <c r="E345" s="5" t="str">
        <f t="shared" si="597"/>
        <v>х</v>
      </c>
      <c r="F345" s="5" t="str">
        <f t="shared" si="597"/>
        <v>х</v>
      </c>
      <c r="G345" s="5" t="str">
        <f t="shared" si="597"/>
        <v>х</v>
      </c>
      <c r="H345" s="5" t="str">
        <f t="shared" si="597"/>
        <v>х</v>
      </c>
      <c r="I345" s="5" t="str">
        <f t="shared" si="597"/>
        <v>х</v>
      </c>
      <c r="J345" s="5" t="str">
        <f t="shared" si="597"/>
        <v>х</v>
      </c>
      <c r="K345" s="5" t="str">
        <f t="shared" si="597"/>
        <v>х</v>
      </c>
      <c r="L345" s="5" t="str">
        <f t="shared" si="597"/>
        <v>х</v>
      </c>
      <c r="M345" s="5" t="str">
        <f t="shared" si="597"/>
        <v>х</v>
      </c>
      <c r="N345" s="5" t="str">
        <f t="shared" si="597"/>
        <v>х</v>
      </c>
      <c r="O345" s="8" t="str">
        <f>""</f>
        <v/>
      </c>
      <c r="P345" s="5" t="str">
        <f>""</f>
        <v/>
      </c>
      <c r="Q345" s="5" t="str">
        <f>""</f>
        <v/>
      </c>
      <c r="R345" s="5" t="str">
        <f>""</f>
        <v/>
      </c>
      <c r="S345" s="5" t="str">
        <f>""</f>
        <v/>
      </c>
      <c r="T345" s="5" t="str">
        <f>""</f>
        <v/>
      </c>
      <c r="U345" s="5" t="str">
        <f>""</f>
        <v/>
      </c>
      <c r="V345" s="5" t="str">
        <f>""</f>
        <v/>
      </c>
      <c r="W345" s="5" t="str">
        <f>""</f>
        <v/>
      </c>
      <c r="X345" s="5" t="str">
        <f>""</f>
        <v/>
      </c>
      <c r="Y345" s="9" t="str">
        <f>""</f>
        <v/>
      </c>
      <c r="Z345" s="5" t="str">
        <f t="shared" ref="Z345:AI346" si="598">"х"</f>
        <v>х</v>
      </c>
      <c r="AA345" s="5" t="str">
        <f t="shared" si="598"/>
        <v>х</v>
      </c>
      <c r="AB345" s="5" t="str">
        <f t="shared" si="598"/>
        <v>х</v>
      </c>
      <c r="AC345" s="5" t="str">
        <f t="shared" si="598"/>
        <v>х</v>
      </c>
      <c r="AD345" s="5" t="str">
        <f t="shared" si="598"/>
        <v>х</v>
      </c>
      <c r="AE345" s="5" t="str">
        <f t="shared" si="598"/>
        <v>х</v>
      </c>
      <c r="AF345" s="5" t="str">
        <f t="shared" si="598"/>
        <v>х</v>
      </c>
      <c r="AG345" s="5" t="str">
        <f t="shared" si="598"/>
        <v>х</v>
      </c>
      <c r="AH345" s="5" t="str">
        <f t="shared" si="598"/>
        <v>х</v>
      </c>
      <c r="AI345" s="5" t="str">
        <f t="shared" si="598"/>
        <v>х</v>
      </c>
      <c r="AJ345" s="5" t="str">
        <f t="shared" ref="AJ345:AS346" si="599">"х"</f>
        <v>х</v>
      </c>
      <c r="AK345" s="8" t="str">
        <f t="shared" si="599"/>
        <v>х</v>
      </c>
      <c r="AL345" s="5" t="str">
        <f t="shared" si="599"/>
        <v>х</v>
      </c>
      <c r="AM345" s="5" t="str">
        <f t="shared" si="599"/>
        <v>х</v>
      </c>
      <c r="AN345" s="5" t="str">
        <f t="shared" si="599"/>
        <v>х</v>
      </c>
      <c r="AO345" s="5" t="str">
        <f t="shared" si="599"/>
        <v>х</v>
      </c>
      <c r="AP345" s="5" t="str">
        <f t="shared" si="599"/>
        <v>х</v>
      </c>
      <c r="AQ345" s="5" t="str">
        <f t="shared" si="599"/>
        <v>х</v>
      </c>
      <c r="AR345" s="5" t="str">
        <f t="shared" si="599"/>
        <v>х</v>
      </c>
      <c r="AS345" s="5" t="str">
        <f t="shared" si="599"/>
        <v>х</v>
      </c>
      <c r="AT345" s="5" t="str">
        <f t="shared" ref="AT345:BC346" si="600">"х"</f>
        <v>х</v>
      </c>
      <c r="AU345" s="5" t="str">
        <f t="shared" si="600"/>
        <v>х</v>
      </c>
      <c r="AV345" s="5" t="str">
        <f t="shared" si="600"/>
        <v>х</v>
      </c>
      <c r="AW345" s="5" t="str">
        <f t="shared" si="600"/>
        <v>х</v>
      </c>
      <c r="AX345" s="5" t="str">
        <f t="shared" si="600"/>
        <v>х</v>
      </c>
      <c r="AY345" s="5" t="str">
        <f t="shared" si="600"/>
        <v>х</v>
      </c>
      <c r="AZ345" s="5" t="str">
        <f t="shared" si="600"/>
        <v>х</v>
      </c>
      <c r="BA345" s="5" t="str">
        <f t="shared" si="600"/>
        <v>х</v>
      </c>
      <c r="BB345" s="5" t="str">
        <f t="shared" si="600"/>
        <v>х</v>
      </c>
      <c r="BC345" s="5" t="str">
        <f t="shared" si="600"/>
        <v>х</v>
      </c>
      <c r="BD345" s="5" t="str">
        <f t="shared" ref="BD345:BQ346" si="601">"х"</f>
        <v>х</v>
      </c>
      <c r="BE345" s="5" t="str">
        <f t="shared" si="601"/>
        <v>х</v>
      </c>
      <c r="BF345" s="5" t="str">
        <f t="shared" si="601"/>
        <v>х</v>
      </c>
      <c r="BG345" s="5" t="str">
        <f t="shared" si="601"/>
        <v>х</v>
      </c>
      <c r="BH345" s="5" t="str">
        <f t="shared" si="601"/>
        <v>х</v>
      </c>
      <c r="BI345" s="5" t="str">
        <f t="shared" si="601"/>
        <v>х</v>
      </c>
      <c r="BJ345" s="5" t="str">
        <f t="shared" si="601"/>
        <v>х</v>
      </c>
      <c r="BK345" s="5" t="str">
        <f t="shared" si="601"/>
        <v>х</v>
      </c>
      <c r="BL345" s="5" t="str">
        <f t="shared" si="601"/>
        <v>х</v>
      </c>
      <c r="BM345" s="5" t="str">
        <f t="shared" si="601"/>
        <v>х</v>
      </c>
      <c r="BN345" s="5" t="str">
        <f t="shared" si="601"/>
        <v>х</v>
      </c>
      <c r="BO345" s="5" t="str">
        <f t="shared" si="601"/>
        <v>х</v>
      </c>
      <c r="BP345" s="5" t="str">
        <f t="shared" si="601"/>
        <v>х</v>
      </c>
      <c r="BQ345" s="5" t="str">
        <f t="shared" si="601"/>
        <v>х</v>
      </c>
      <c r="BR345" s="5" t="str">
        <f>""</f>
        <v/>
      </c>
      <c r="BS345" s="5" t="str">
        <f>"65,00"</f>
        <v>65,00</v>
      </c>
      <c r="BT345" s="5" t="str">
        <f>"2016"</f>
        <v>2016</v>
      </c>
      <c r="BU345" s="5" t="str">
        <f t="shared" si="518"/>
        <v>нет</v>
      </c>
      <c r="BV345" s="5" t="str">
        <f t="shared" si="596"/>
        <v>x</v>
      </c>
      <c r="BW345" s="5" t="str">
        <f t="shared" si="596"/>
        <v>x</v>
      </c>
      <c r="BX345" s="5" t="str">
        <f t="shared" si="596"/>
        <v>x</v>
      </c>
      <c r="BY345" s="5" t="str">
        <f>"нет"</f>
        <v>нет</v>
      </c>
      <c r="BZ345" s="5" t="str">
        <f t="shared" ref="BZ345:CB347" si="602">"x"</f>
        <v>x</v>
      </c>
      <c r="CA345" s="5" t="str">
        <f t="shared" si="602"/>
        <v>x</v>
      </c>
      <c r="CB345" s="5" t="str">
        <f t="shared" si="602"/>
        <v>x</v>
      </c>
      <c r="CC345" s="5" t="str">
        <f>""</f>
        <v/>
      </c>
      <c r="CD345" s="5" t="str">
        <f>"65,00"</f>
        <v>65,00</v>
      </c>
      <c r="CE345" s="5" t="str">
        <f>"2016"</f>
        <v>2016</v>
      </c>
      <c r="CF345" s="5" t="str">
        <f>""</f>
        <v/>
      </c>
      <c r="CG345" s="5" t="str">
        <f>"65,00"</f>
        <v>65,00</v>
      </c>
      <c r="CH345" s="5" t="str">
        <f>"2016"</f>
        <v>2016</v>
      </c>
      <c r="CI345" s="5" t="str">
        <f>"65,00"</f>
        <v>65,00</v>
      </c>
      <c r="CJ345" s="5" t="str">
        <f>"2019"</f>
        <v>2019</v>
      </c>
    </row>
    <row r="346" spans="1:88" ht="11.25" customHeight="1">
      <c r="A346" s="3" t="str">
        <f>"1.333"</f>
        <v>1.333</v>
      </c>
      <c r="B346" s="4" t="str">
        <f>"д. Свистуново, д.20"</f>
        <v>д. Свистуново, д.20</v>
      </c>
      <c r="C346" s="7" t="str">
        <f>"1975"</f>
        <v>1975</v>
      </c>
      <c r="D346" s="5" t="str">
        <f t="shared" si="597"/>
        <v>х</v>
      </c>
      <c r="E346" s="5" t="str">
        <f t="shared" si="597"/>
        <v>х</v>
      </c>
      <c r="F346" s="5" t="str">
        <f t="shared" si="597"/>
        <v>х</v>
      </c>
      <c r="G346" s="5" t="str">
        <f t="shared" si="597"/>
        <v>х</v>
      </c>
      <c r="H346" s="5" t="str">
        <f t="shared" si="597"/>
        <v>х</v>
      </c>
      <c r="I346" s="5" t="str">
        <f t="shared" si="597"/>
        <v>х</v>
      </c>
      <c r="J346" s="5" t="str">
        <f t="shared" si="597"/>
        <v>х</v>
      </c>
      <c r="K346" s="5" t="str">
        <f t="shared" si="597"/>
        <v>х</v>
      </c>
      <c r="L346" s="5" t="str">
        <f t="shared" si="597"/>
        <v>х</v>
      </c>
      <c r="M346" s="5" t="str">
        <f t="shared" si="597"/>
        <v>х</v>
      </c>
      <c r="N346" s="5" t="str">
        <f t="shared" si="597"/>
        <v>х</v>
      </c>
      <c r="O346" s="8" t="str">
        <f t="shared" ref="O346:Y346" si="603">"х"</f>
        <v>х</v>
      </c>
      <c r="P346" s="5" t="str">
        <f t="shared" si="603"/>
        <v>х</v>
      </c>
      <c r="Q346" s="5" t="str">
        <f t="shared" si="603"/>
        <v>х</v>
      </c>
      <c r="R346" s="5" t="str">
        <f t="shared" si="603"/>
        <v>х</v>
      </c>
      <c r="S346" s="5" t="str">
        <f t="shared" si="603"/>
        <v>х</v>
      </c>
      <c r="T346" s="5" t="str">
        <f t="shared" si="603"/>
        <v>х</v>
      </c>
      <c r="U346" s="5" t="str">
        <f t="shared" si="603"/>
        <v>х</v>
      </c>
      <c r="V346" s="5" t="str">
        <f t="shared" si="603"/>
        <v>х</v>
      </c>
      <c r="W346" s="5" t="str">
        <f t="shared" si="603"/>
        <v>х</v>
      </c>
      <c r="X346" s="5" t="str">
        <f t="shared" si="603"/>
        <v>х</v>
      </c>
      <c r="Y346" s="9" t="str">
        <f t="shared" si="603"/>
        <v>х</v>
      </c>
      <c r="Z346" s="5" t="str">
        <f t="shared" si="598"/>
        <v>х</v>
      </c>
      <c r="AA346" s="5" t="str">
        <f t="shared" si="598"/>
        <v>х</v>
      </c>
      <c r="AB346" s="5" t="str">
        <f t="shared" si="598"/>
        <v>х</v>
      </c>
      <c r="AC346" s="5" t="str">
        <f t="shared" si="598"/>
        <v>х</v>
      </c>
      <c r="AD346" s="5" t="str">
        <f t="shared" si="598"/>
        <v>х</v>
      </c>
      <c r="AE346" s="5" t="str">
        <f t="shared" si="598"/>
        <v>х</v>
      </c>
      <c r="AF346" s="5" t="str">
        <f t="shared" si="598"/>
        <v>х</v>
      </c>
      <c r="AG346" s="5" t="str">
        <f t="shared" si="598"/>
        <v>х</v>
      </c>
      <c r="AH346" s="5" t="str">
        <f t="shared" si="598"/>
        <v>х</v>
      </c>
      <c r="AI346" s="5" t="str">
        <f t="shared" si="598"/>
        <v>х</v>
      </c>
      <c r="AJ346" s="5" t="str">
        <f t="shared" si="599"/>
        <v>х</v>
      </c>
      <c r="AK346" s="8" t="str">
        <f t="shared" si="599"/>
        <v>х</v>
      </c>
      <c r="AL346" s="5" t="str">
        <f t="shared" si="599"/>
        <v>х</v>
      </c>
      <c r="AM346" s="5" t="str">
        <f t="shared" si="599"/>
        <v>х</v>
      </c>
      <c r="AN346" s="5" t="str">
        <f t="shared" si="599"/>
        <v>х</v>
      </c>
      <c r="AO346" s="5" t="str">
        <f t="shared" si="599"/>
        <v>х</v>
      </c>
      <c r="AP346" s="5" t="str">
        <f t="shared" si="599"/>
        <v>х</v>
      </c>
      <c r="AQ346" s="5" t="str">
        <f t="shared" si="599"/>
        <v>х</v>
      </c>
      <c r="AR346" s="5" t="str">
        <f t="shared" si="599"/>
        <v>х</v>
      </c>
      <c r="AS346" s="5" t="str">
        <f t="shared" si="599"/>
        <v>х</v>
      </c>
      <c r="AT346" s="5" t="str">
        <f t="shared" si="600"/>
        <v>х</v>
      </c>
      <c r="AU346" s="5" t="str">
        <f t="shared" si="600"/>
        <v>х</v>
      </c>
      <c r="AV346" s="5" t="str">
        <f t="shared" si="600"/>
        <v>х</v>
      </c>
      <c r="AW346" s="5" t="str">
        <f t="shared" si="600"/>
        <v>х</v>
      </c>
      <c r="AX346" s="5" t="str">
        <f t="shared" si="600"/>
        <v>х</v>
      </c>
      <c r="AY346" s="5" t="str">
        <f t="shared" si="600"/>
        <v>х</v>
      </c>
      <c r="AZ346" s="5" t="str">
        <f t="shared" si="600"/>
        <v>х</v>
      </c>
      <c r="BA346" s="5" t="str">
        <f t="shared" si="600"/>
        <v>х</v>
      </c>
      <c r="BB346" s="5" t="str">
        <f t="shared" si="600"/>
        <v>х</v>
      </c>
      <c r="BC346" s="5" t="str">
        <f t="shared" si="600"/>
        <v>х</v>
      </c>
      <c r="BD346" s="5" t="str">
        <f t="shared" si="601"/>
        <v>х</v>
      </c>
      <c r="BE346" s="5" t="str">
        <f t="shared" si="601"/>
        <v>х</v>
      </c>
      <c r="BF346" s="5" t="str">
        <f t="shared" si="601"/>
        <v>х</v>
      </c>
      <c r="BG346" s="5" t="str">
        <f t="shared" si="601"/>
        <v>х</v>
      </c>
      <c r="BH346" s="5" t="str">
        <f t="shared" si="601"/>
        <v>х</v>
      </c>
      <c r="BI346" s="5" t="str">
        <f t="shared" si="601"/>
        <v>х</v>
      </c>
      <c r="BJ346" s="5" t="str">
        <f t="shared" si="601"/>
        <v>х</v>
      </c>
      <c r="BK346" s="5" t="str">
        <f t="shared" si="601"/>
        <v>х</v>
      </c>
      <c r="BL346" s="5" t="str">
        <f t="shared" si="601"/>
        <v>х</v>
      </c>
      <c r="BM346" s="5" t="str">
        <f t="shared" si="601"/>
        <v>х</v>
      </c>
      <c r="BN346" s="5" t="str">
        <f t="shared" si="601"/>
        <v>х</v>
      </c>
      <c r="BO346" s="5" t="str">
        <f t="shared" si="601"/>
        <v>х</v>
      </c>
      <c r="BP346" s="5" t="str">
        <f t="shared" si="601"/>
        <v>х</v>
      </c>
      <c r="BQ346" s="5" t="str">
        <f t="shared" si="601"/>
        <v>х</v>
      </c>
      <c r="BR346" s="5" t="str">
        <f>""</f>
        <v/>
      </c>
      <c r="BS346" s="5" t="str">
        <f>"65,00"</f>
        <v>65,00</v>
      </c>
      <c r="BT346" s="5" t="str">
        <f>"2017"</f>
        <v>2017</v>
      </c>
      <c r="BU346" s="5" t="str">
        <f t="shared" si="518"/>
        <v>нет</v>
      </c>
      <c r="BV346" s="5" t="str">
        <f t="shared" si="596"/>
        <v>x</v>
      </c>
      <c r="BW346" s="5" t="str">
        <f t="shared" si="596"/>
        <v>x</v>
      </c>
      <c r="BX346" s="5" t="str">
        <f t="shared" si="596"/>
        <v>x</v>
      </c>
      <c r="BY346" s="5" t="str">
        <f>"нет"</f>
        <v>нет</v>
      </c>
      <c r="BZ346" s="5" t="str">
        <f t="shared" si="602"/>
        <v>x</v>
      </c>
      <c r="CA346" s="5" t="str">
        <f t="shared" si="602"/>
        <v>x</v>
      </c>
      <c r="CB346" s="5" t="str">
        <f t="shared" si="602"/>
        <v>x</v>
      </c>
      <c r="CC346" s="5" t="str">
        <f>""</f>
        <v/>
      </c>
      <c r="CD346" s="5" t="str">
        <f>"40,00"</f>
        <v>40,00</v>
      </c>
      <c r="CE346" s="5" t="str">
        <f>"2023"</f>
        <v>2023</v>
      </c>
      <c r="CF346" s="5" t="str">
        <f>""</f>
        <v/>
      </c>
      <c r="CG346" s="5" t="str">
        <f>"40,00"</f>
        <v>40,00</v>
      </c>
      <c r="CH346" s="5" t="str">
        <f>"2022"</f>
        <v>2022</v>
      </c>
      <c r="CI346" s="5" t="str">
        <f>"65,00"</f>
        <v>65,00</v>
      </c>
      <c r="CJ346" s="5" t="str">
        <f>"2040"</f>
        <v>2040</v>
      </c>
    </row>
    <row r="347" spans="1:88" ht="11.25" customHeight="1">
      <c r="A347" s="3" t="str">
        <f>"1.334"</f>
        <v>1.334</v>
      </c>
      <c r="B347" s="4" t="str">
        <f>"д. Семенцево, д.24"</f>
        <v>д. Семенцево, д.24</v>
      </c>
      <c r="C347" s="7" t="str">
        <f>"1968"</f>
        <v>1968</v>
      </c>
      <c r="D347" s="5" t="str">
        <f t="shared" si="597"/>
        <v>х</v>
      </c>
      <c r="E347" s="5" t="str">
        <f t="shared" si="597"/>
        <v>х</v>
      </c>
      <c r="F347" s="5" t="str">
        <f t="shared" si="597"/>
        <v>х</v>
      </c>
      <c r="G347" s="5" t="str">
        <f t="shared" si="597"/>
        <v>х</v>
      </c>
      <c r="H347" s="5" t="str">
        <f t="shared" si="597"/>
        <v>х</v>
      </c>
      <c r="I347" s="5" t="str">
        <f t="shared" si="597"/>
        <v>х</v>
      </c>
      <c r="J347" s="5" t="str">
        <f t="shared" si="597"/>
        <v>х</v>
      </c>
      <c r="K347" s="5" t="str">
        <f t="shared" si="597"/>
        <v>х</v>
      </c>
      <c r="L347" s="5" t="str">
        <f t="shared" si="597"/>
        <v>х</v>
      </c>
      <c r="M347" s="5" t="str">
        <f t="shared" si="597"/>
        <v>х</v>
      </c>
      <c r="N347" s="5" t="str">
        <f t="shared" si="597"/>
        <v>х</v>
      </c>
      <c r="O347" s="8" t="str">
        <f>""</f>
        <v/>
      </c>
      <c r="P347" s="5" t="str">
        <f>""</f>
        <v/>
      </c>
      <c r="Q347" s="5" t="str">
        <f>""</f>
        <v/>
      </c>
      <c r="R347" s="5" t="str">
        <f>""</f>
        <v/>
      </c>
      <c r="S347" s="5" t="str">
        <f>""</f>
        <v/>
      </c>
      <c r="T347" s="5" t="str">
        <f>""</f>
        <v/>
      </c>
      <c r="U347" s="5" t="str">
        <f>""</f>
        <v/>
      </c>
      <c r="V347" s="5" t="str">
        <f>""</f>
        <v/>
      </c>
      <c r="W347" s="5" t="str">
        <f>""</f>
        <v/>
      </c>
      <c r="X347" s="5" t="str">
        <f>""</f>
        <v/>
      </c>
      <c r="Y347" s="9" t="str">
        <f>""</f>
        <v/>
      </c>
      <c r="Z347" s="5" t="str">
        <f>""</f>
        <v/>
      </c>
      <c r="AA347" s="5" t="str">
        <f>""</f>
        <v/>
      </c>
      <c r="AB347" s="5" t="str">
        <f>""</f>
        <v/>
      </c>
      <c r="AC347" s="5" t="str">
        <f>""</f>
        <v/>
      </c>
      <c r="AD347" s="5" t="str">
        <f>""</f>
        <v/>
      </c>
      <c r="AE347" s="5" t="str">
        <f>""</f>
        <v/>
      </c>
      <c r="AF347" s="5" t="str">
        <f>""</f>
        <v/>
      </c>
      <c r="AG347" s="5" t="str">
        <f>""</f>
        <v/>
      </c>
      <c r="AH347" s="5" t="str">
        <f>""</f>
        <v/>
      </c>
      <c r="AI347" s="5" t="str">
        <f>""</f>
        <v/>
      </c>
      <c r="AJ347" s="5" t="str">
        <f>""</f>
        <v/>
      </c>
      <c r="AK347" s="8" t="str">
        <f t="shared" ref="AK347:BQ347" si="604">"х"</f>
        <v>х</v>
      </c>
      <c r="AL347" s="5" t="str">
        <f t="shared" si="604"/>
        <v>х</v>
      </c>
      <c r="AM347" s="5" t="str">
        <f t="shared" si="604"/>
        <v>х</v>
      </c>
      <c r="AN347" s="5" t="str">
        <f t="shared" si="604"/>
        <v>х</v>
      </c>
      <c r="AO347" s="5" t="str">
        <f t="shared" si="604"/>
        <v>х</v>
      </c>
      <c r="AP347" s="5" t="str">
        <f t="shared" si="604"/>
        <v>х</v>
      </c>
      <c r="AQ347" s="5" t="str">
        <f t="shared" si="604"/>
        <v>х</v>
      </c>
      <c r="AR347" s="5" t="str">
        <f t="shared" si="604"/>
        <v>х</v>
      </c>
      <c r="AS347" s="5" t="str">
        <f t="shared" si="604"/>
        <v>х</v>
      </c>
      <c r="AT347" s="5" t="str">
        <f t="shared" si="604"/>
        <v>х</v>
      </c>
      <c r="AU347" s="5" t="str">
        <f t="shared" si="604"/>
        <v>х</v>
      </c>
      <c r="AV347" s="5" t="str">
        <f t="shared" si="604"/>
        <v>х</v>
      </c>
      <c r="AW347" s="5" t="str">
        <f t="shared" si="604"/>
        <v>х</v>
      </c>
      <c r="AX347" s="5" t="str">
        <f t="shared" si="604"/>
        <v>х</v>
      </c>
      <c r="AY347" s="5" t="str">
        <f t="shared" si="604"/>
        <v>х</v>
      </c>
      <c r="AZ347" s="5" t="str">
        <f t="shared" si="604"/>
        <v>х</v>
      </c>
      <c r="BA347" s="5" t="str">
        <f t="shared" si="604"/>
        <v>х</v>
      </c>
      <c r="BB347" s="5" t="str">
        <f t="shared" si="604"/>
        <v>х</v>
      </c>
      <c r="BC347" s="5" t="str">
        <f t="shared" si="604"/>
        <v>х</v>
      </c>
      <c r="BD347" s="5" t="str">
        <f t="shared" si="604"/>
        <v>х</v>
      </c>
      <c r="BE347" s="5" t="str">
        <f t="shared" si="604"/>
        <v>х</v>
      </c>
      <c r="BF347" s="5" t="str">
        <f t="shared" si="604"/>
        <v>х</v>
      </c>
      <c r="BG347" s="5" t="str">
        <f t="shared" si="604"/>
        <v>х</v>
      </c>
      <c r="BH347" s="5" t="str">
        <f t="shared" si="604"/>
        <v>х</v>
      </c>
      <c r="BI347" s="5" t="str">
        <f t="shared" si="604"/>
        <v>х</v>
      </c>
      <c r="BJ347" s="5" t="str">
        <f t="shared" si="604"/>
        <v>х</v>
      </c>
      <c r="BK347" s="5" t="str">
        <f t="shared" si="604"/>
        <v>х</v>
      </c>
      <c r="BL347" s="5" t="str">
        <f t="shared" si="604"/>
        <v>х</v>
      </c>
      <c r="BM347" s="5" t="str">
        <f t="shared" si="604"/>
        <v>х</v>
      </c>
      <c r="BN347" s="5" t="str">
        <f t="shared" si="604"/>
        <v>х</v>
      </c>
      <c r="BO347" s="5" t="str">
        <f t="shared" si="604"/>
        <v>х</v>
      </c>
      <c r="BP347" s="5" t="str">
        <f t="shared" si="604"/>
        <v>х</v>
      </c>
      <c r="BQ347" s="5" t="str">
        <f t="shared" si="604"/>
        <v>х</v>
      </c>
      <c r="BR347" s="5" t="str">
        <f>""</f>
        <v/>
      </c>
      <c r="BS347" s="5" t="str">
        <f>"40,00"</f>
        <v>40,00</v>
      </c>
      <c r="BT347" s="5" t="str">
        <f>"2016"</f>
        <v>2016</v>
      </c>
      <c r="BU347" s="5" t="str">
        <f t="shared" si="518"/>
        <v>нет</v>
      </c>
      <c r="BV347" s="5" t="str">
        <f t="shared" si="596"/>
        <v>x</v>
      </c>
      <c r="BW347" s="5" t="str">
        <f t="shared" si="596"/>
        <v>x</v>
      </c>
      <c r="BX347" s="5" t="str">
        <f t="shared" si="596"/>
        <v>x</v>
      </c>
      <c r="BY347" s="5" t="str">
        <f>"нет"</f>
        <v>нет</v>
      </c>
      <c r="BZ347" s="5" t="str">
        <f t="shared" si="602"/>
        <v>x</v>
      </c>
      <c r="CA347" s="5" t="str">
        <f t="shared" si="602"/>
        <v>x</v>
      </c>
      <c r="CB347" s="5" t="str">
        <f t="shared" si="602"/>
        <v>x</v>
      </c>
      <c r="CC347" s="5" t="str">
        <f>""</f>
        <v/>
      </c>
      <c r="CD347" s="5" t="str">
        <f>"40,00"</f>
        <v>40,00</v>
      </c>
      <c r="CE347" s="5" t="str">
        <f>"2016"</f>
        <v>2016</v>
      </c>
      <c r="CF347" s="5" t="str">
        <f>""</f>
        <v/>
      </c>
      <c r="CG347" s="5" t="str">
        <f>"40,00"</f>
        <v>40,00</v>
      </c>
      <c r="CH347" s="5" t="str">
        <f>"2016"</f>
        <v>2016</v>
      </c>
      <c r="CI347" s="5" t="str">
        <f>"40,00"</f>
        <v>40,00</v>
      </c>
      <c r="CJ347" s="5" t="str">
        <f>"2023"</f>
        <v>2023</v>
      </c>
    </row>
    <row r="348" spans="1:88" ht="11.25" customHeight="1">
      <c r="A348" s="3" t="str">
        <f>"1.335"</f>
        <v>1.335</v>
      </c>
      <c r="B348" s="4" t="str">
        <f>"д. Сидоровское, ул. Центральная, д.14"</f>
        <v>д. Сидоровское, ул. Центральная, д.14</v>
      </c>
      <c r="C348" s="7" t="str">
        <f>"1978"</f>
        <v>1978</v>
      </c>
      <c r="D348" s="5" t="str">
        <f>""</f>
        <v/>
      </c>
      <c r="E348" s="5" t="str">
        <f>"50,00"</f>
        <v>50,00</v>
      </c>
      <c r="F348" s="5" t="str">
        <f>"2023"</f>
        <v>2023</v>
      </c>
      <c r="G348" s="5" t="str">
        <f>"нет"</f>
        <v>нет</v>
      </c>
      <c r="H348" s="5" t="str">
        <f>""</f>
        <v/>
      </c>
      <c r="I348" s="5" t="str">
        <f>""</f>
        <v/>
      </c>
      <c r="J348" s="5" t="str">
        <f>""</f>
        <v/>
      </c>
      <c r="K348" s="5" t="str">
        <f>"нет"</f>
        <v>нет</v>
      </c>
      <c r="L348" s="5" t="str">
        <f>""</f>
        <v/>
      </c>
      <c r="M348" s="5" t="str">
        <f>""</f>
        <v/>
      </c>
      <c r="N348" s="5" t="str">
        <f>""</f>
        <v/>
      </c>
      <c r="O348" s="8" t="str">
        <f>""</f>
        <v/>
      </c>
      <c r="P348" s="5" t="str">
        <f>"52,00"</f>
        <v>52,00</v>
      </c>
      <c r="Q348" s="5" t="str">
        <f>"2020"</f>
        <v>2020</v>
      </c>
      <c r="R348" s="5" t="str">
        <f>"нет"</f>
        <v>нет</v>
      </c>
      <c r="S348" s="5" t="str">
        <f>""</f>
        <v/>
      </c>
      <c r="T348" s="5" t="str">
        <f>""</f>
        <v/>
      </c>
      <c r="U348" s="5" t="str">
        <f>""</f>
        <v/>
      </c>
      <c r="V348" s="5" t="str">
        <f>"нет"</f>
        <v>нет</v>
      </c>
      <c r="W348" s="5" t="str">
        <f>""</f>
        <v/>
      </c>
      <c r="X348" s="5" t="str">
        <f>""</f>
        <v/>
      </c>
      <c r="Y348" s="9" t="str">
        <f>""</f>
        <v/>
      </c>
      <c r="Z348" s="5" t="str">
        <f>""</f>
        <v/>
      </c>
      <c r="AA348" s="5" t="str">
        <f>"30,00"</f>
        <v>30,00</v>
      </c>
      <c r="AB348" s="5" t="str">
        <f>"2026"</f>
        <v>2026</v>
      </c>
      <c r="AC348" s="5" t="str">
        <f>"нет"</f>
        <v>нет</v>
      </c>
      <c r="AD348" s="5" t="str">
        <f>""</f>
        <v/>
      </c>
      <c r="AE348" s="5" t="str">
        <f>""</f>
        <v/>
      </c>
      <c r="AF348" s="5" t="str">
        <f>""</f>
        <v/>
      </c>
      <c r="AG348" s="5" t="str">
        <f>"нет"</f>
        <v>нет</v>
      </c>
      <c r="AH348" s="5" t="str">
        <f>""</f>
        <v/>
      </c>
      <c r="AI348" s="5" t="str">
        <f>""</f>
        <v/>
      </c>
      <c r="AJ348" s="5" t="str">
        <f>""</f>
        <v/>
      </c>
      <c r="AK348" s="8" t="str">
        <f>""</f>
        <v/>
      </c>
      <c r="AL348" s="5" t="str">
        <f>"52,00"</f>
        <v>52,00</v>
      </c>
      <c r="AM348" s="5" t="str">
        <f>"2020"</f>
        <v>2020</v>
      </c>
      <c r="AN348" s="5" t="str">
        <f>"нет"</f>
        <v>нет</v>
      </c>
      <c r="AO348" s="5" t="str">
        <f>""</f>
        <v/>
      </c>
      <c r="AP348" s="5" t="str">
        <f>""</f>
        <v/>
      </c>
      <c r="AQ348" s="5" t="str">
        <f>""</f>
        <v/>
      </c>
      <c r="AR348" s="5" t="str">
        <f>"нет"</f>
        <v>нет</v>
      </c>
      <c r="AS348" s="5" t="str">
        <f>""</f>
        <v/>
      </c>
      <c r="AT348" s="5" t="str">
        <f>""</f>
        <v/>
      </c>
      <c r="AU348" s="5" t="str">
        <f>""</f>
        <v/>
      </c>
      <c r="AV348" s="5" t="str">
        <f>""</f>
        <v/>
      </c>
      <c r="AW348" s="5" t="str">
        <f>""</f>
        <v/>
      </c>
      <c r="AX348" s="5" t="str">
        <f>""</f>
        <v/>
      </c>
      <c r="AY348" s="5" t="str">
        <f>""</f>
        <v/>
      </c>
      <c r="AZ348" s="5" t="str">
        <f>""</f>
        <v/>
      </c>
      <c r="BA348" s="5" t="str">
        <f>""</f>
        <v/>
      </c>
      <c r="BB348" s="5" t="str">
        <f>""</f>
        <v/>
      </c>
      <c r="BC348" s="5" t="str">
        <f>""</f>
        <v/>
      </c>
      <c r="BD348" s="5" t="str">
        <f>""</f>
        <v/>
      </c>
      <c r="BE348" s="5" t="str">
        <f>""</f>
        <v/>
      </c>
      <c r="BF348" s="5" t="str">
        <f>""</f>
        <v/>
      </c>
      <c r="BG348" s="5" t="str">
        <f>""</f>
        <v/>
      </c>
      <c r="BH348" s="5" t="str">
        <f>"52,00"</f>
        <v>52,00</v>
      </c>
      <c r="BI348" s="5" t="str">
        <f>"2020"</f>
        <v>2020</v>
      </c>
      <c r="BJ348" s="5" t="str">
        <f>"нет"</f>
        <v>нет</v>
      </c>
      <c r="BK348" s="5" t="str">
        <f>""</f>
        <v/>
      </c>
      <c r="BL348" s="5" t="str">
        <f>""</f>
        <v/>
      </c>
      <c r="BM348" s="5" t="str">
        <f>""</f>
        <v/>
      </c>
      <c r="BN348" s="5" t="str">
        <f>"нет"</f>
        <v>нет</v>
      </c>
      <c r="BO348" s="5" t="str">
        <f>""</f>
        <v/>
      </c>
      <c r="BP348" s="5" t="str">
        <f>""</f>
        <v/>
      </c>
      <c r="BQ348" s="5" t="str">
        <f>""</f>
        <v/>
      </c>
      <c r="BR348" s="5" t="str">
        <f>"2005"</f>
        <v>2005</v>
      </c>
      <c r="BS348" s="5" t="str">
        <f>"20,00"</f>
        <v>20,00</v>
      </c>
      <c r="BT348" s="5" t="str">
        <f>"2018"</f>
        <v>2018</v>
      </c>
      <c r="BU348" s="5" t="str">
        <f t="shared" si="518"/>
        <v>нет</v>
      </c>
      <c r="BV348" s="5" t="str">
        <f t="shared" si="596"/>
        <v>x</v>
      </c>
      <c r="BW348" s="5" t="str">
        <f t="shared" si="596"/>
        <v>x</v>
      </c>
      <c r="BX348" s="5" t="str">
        <f t="shared" si="596"/>
        <v>x</v>
      </c>
      <c r="BY348" s="5" t="str">
        <f>"да"</f>
        <v>да</v>
      </c>
      <c r="BZ348" s="5" t="str">
        <f>""</f>
        <v/>
      </c>
      <c r="CA348" s="5" t="str">
        <f>"45,00"</f>
        <v>45,00</v>
      </c>
      <c r="CB348" s="5" t="str">
        <f>"2024"</f>
        <v>2024</v>
      </c>
      <c r="CC348" s="5" t="str">
        <f>""</f>
        <v/>
      </c>
      <c r="CD348" s="5" t="str">
        <f>"20,00"</f>
        <v>20,00</v>
      </c>
      <c r="CE348" s="5" t="str">
        <f>"2025"</f>
        <v>2025</v>
      </c>
      <c r="CF348" s="5" t="str">
        <f>""</f>
        <v/>
      </c>
      <c r="CG348" s="5" t="str">
        <f>"20,00"</f>
        <v>20,00</v>
      </c>
      <c r="CH348" s="5" t="str">
        <f>"2027"</f>
        <v>2027</v>
      </c>
      <c r="CI348" s="5" t="str">
        <f>"52,00"</f>
        <v>52,00</v>
      </c>
      <c r="CJ348" s="5" t="str">
        <f>"2024"</f>
        <v>2024</v>
      </c>
    </row>
    <row r="349" spans="1:88" ht="11.25" customHeight="1">
      <c r="A349" s="3" t="str">
        <f>"1.336"</f>
        <v>1.336</v>
      </c>
      <c r="B349" s="4" t="str">
        <f>"д. Сидоровское, улица. Центральная, д.10"</f>
        <v>д. Сидоровское, улица. Центральная, д.10</v>
      </c>
      <c r="C349" s="7" t="str">
        <f>"1993"</f>
        <v>1993</v>
      </c>
      <c r="D349" s="5" t="str">
        <f>""</f>
        <v/>
      </c>
      <c r="E349" s="5" t="str">
        <f>"35,00"</f>
        <v>35,00</v>
      </c>
      <c r="F349" s="5" t="str">
        <f>"2023"</f>
        <v>2023</v>
      </c>
      <c r="G349" s="5" t="str">
        <f>"нет"</f>
        <v>нет</v>
      </c>
      <c r="H349" s="5" t="str">
        <f>""</f>
        <v/>
      </c>
      <c r="I349" s="5" t="str">
        <f>""</f>
        <v/>
      </c>
      <c r="J349" s="5" t="str">
        <f>""</f>
        <v/>
      </c>
      <c r="K349" s="5" t="str">
        <f>"нет"</f>
        <v>нет</v>
      </c>
      <c r="L349" s="5" t="str">
        <f>""</f>
        <v/>
      </c>
      <c r="M349" s="5" t="str">
        <f>""</f>
        <v/>
      </c>
      <c r="N349" s="5" t="str">
        <f>""</f>
        <v/>
      </c>
      <c r="O349" s="8" t="str">
        <f>""</f>
        <v/>
      </c>
      <c r="P349" s="5" t="str">
        <f>"45,00"</f>
        <v>45,00</v>
      </c>
      <c r="Q349" s="5" t="str">
        <f>"2020"</f>
        <v>2020</v>
      </c>
      <c r="R349" s="5" t="str">
        <f>"нет"</f>
        <v>нет</v>
      </c>
      <c r="S349" s="5" t="str">
        <f>""</f>
        <v/>
      </c>
      <c r="T349" s="5" t="str">
        <f>""</f>
        <v/>
      </c>
      <c r="U349" s="5" t="str">
        <f>""</f>
        <v/>
      </c>
      <c r="V349" s="5" t="str">
        <f>"нет"</f>
        <v>нет</v>
      </c>
      <c r="W349" s="5" t="str">
        <f>""</f>
        <v/>
      </c>
      <c r="X349" s="5" t="str">
        <f>""</f>
        <v/>
      </c>
      <c r="Y349" s="9" t="str">
        <f>""</f>
        <v/>
      </c>
      <c r="Z349" s="5" t="str">
        <f>""</f>
        <v/>
      </c>
      <c r="AA349" s="5" t="str">
        <f>""</f>
        <v/>
      </c>
      <c r="AB349" s="5" t="str">
        <f>""</f>
        <v/>
      </c>
      <c r="AC349" s="5" t="str">
        <f>""</f>
        <v/>
      </c>
      <c r="AD349" s="5" t="str">
        <f>""</f>
        <v/>
      </c>
      <c r="AE349" s="5" t="str">
        <f>""</f>
        <v/>
      </c>
      <c r="AF349" s="5" t="str">
        <f>""</f>
        <v/>
      </c>
      <c r="AG349" s="5" t="str">
        <f>""</f>
        <v/>
      </c>
      <c r="AH349" s="5" t="str">
        <f>""</f>
        <v/>
      </c>
      <c r="AI349" s="5" t="str">
        <f>""</f>
        <v/>
      </c>
      <c r="AJ349" s="5" t="str">
        <f>""</f>
        <v/>
      </c>
      <c r="AK349" s="8" t="str">
        <f>""</f>
        <v/>
      </c>
      <c r="AL349" s="5" t="str">
        <f>"45,00"</f>
        <v>45,00</v>
      </c>
      <c r="AM349" s="5" t="str">
        <f>"2020"</f>
        <v>2020</v>
      </c>
      <c r="AN349" s="5" t="str">
        <f>"нет"</f>
        <v>нет</v>
      </c>
      <c r="AO349" s="5" t="str">
        <f>""</f>
        <v/>
      </c>
      <c r="AP349" s="5" t="str">
        <f>""</f>
        <v/>
      </c>
      <c r="AQ349" s="5" t="str">
        <f>""</f>
        <v/>
      </c>
      <c r="AR349" s="5" t="str">
        <f>"нет"</f>
        <v>нет</v>
      </c>
      <c r="AS349" s="5" t="str">
        <f>""</f>
        <v/>
      </c>
      <c r="AT349" s="5" t="str">
        <f>""</f>
        <v/>
      </c>
      <c r="AU349" s="5" t="str">
        <f>""</f>
        <v/>
      </c>
      <c r="AV349" s="5" t="str">
        <f>""</f>
        <v/>
      </c>
      <c r="AW349" s="5" t="str">
        <f>""</f>
        <v/>
      </c>
      <c r="AX349" s="5" t="str">
        <f>""</f>
        <v/>
      </c>
      <c r="AY349" s="5" t="str">
        <f>""</f>
        <v/>
      </c>
      <c r="AZ349" s="5" t="str">
        <f>""</f>
        <v/>
      </c>
      <c r="BA349" s="5" t="str">
        <f>""</f>
        <v/>
      </c>
      <c r="BB349" s="5" t="str">
        <f>""</f>
        <v/>
      </c>
      <c r="BC349" s="5" t="str">
        <f>""</f>
        <v/>
      </c>
      <c r="BD349" s="5" t="str">
        <f>""</f>
        <v/>
      </c>
      <c r="BE349" s="5" t="str">
        <f>""</f>
        <v/>
      </c>
      <c r="BF349" s="5" t="str">
        <f>""</f>
        <v/>
      </c>
      <c r="BG349" s="5" t="str">
        <f>""</f>
        <v/>
      </c>
      <c r="BH349" s="5" t="str">
        <f>"45,00"</f>
        <v>45,00</v>
      </c>
      <c r="BI349" s="5" t="str">
        <f>"2020"</f>
        <v>2020</v>
      </c>
      <c r="BJ349" s="5" t="str">
        <f>"нет"</f>
        <v>нет</v>
      </c>
      <c r="BK349" s="5" t="str">
        <f>""</f>
        <v/>
      </c>
      <c r="BL349" s="5" t="str">
        <f>""</f>
        <v/>
      </c>
      <c r="BM349" s="5" t="str">
        <f>""</f>
        <v/>
      </c>
      <c r="BN349" s="5" t="str">
        <f>"нет"</f>
        <v>нет</v>
      </c>
      <c r="BO349" s="5" t="str">
        <f>""</f>
        <v/>
      </c>
      <c r="BP349" s="5" t="str">
        <f>""</f>
        <v/>
      </c>
      <c r="BQ349" s="5" t="str">
        <f>""</f>
        <v/>
      </c>
      <c r="BR349" s="5" t="str">
        <f>""</f>
        <v/>
      </c>
      <c r="BS349" s="5" t="str">
        <f>"25,00"</f>
        <v>25,00</v>
      </c>
      <c r="BT349" s="5" t="str">
        <f>"2020"</f>
        <v>2020</v>
      </c>
      <c r="BU349" s="5" t="str">
        <f t="shared" si="518"/>
        <v>нет</v>
      </c>
      <c r="BV349" s="5" t="str">
        <f t="shared" si="596"/>
        <v>x</v>
      </c>
      <c r="BW349" s="5" t="str">
        <f t="shared" si="596"/>
        <v>x</v>
      </c>
      <c r="BX349" s="5" t="str">
        <f t="shared" si="596"/>
        <v>x</v>
      </c>
      <c r="BY349" s="5" t="str">
        <f t="shared" ref="BY349:BY376" si="605">"нет"</f>
        <v>нет</v>
      </c>
      <c r="BZ349" s="5" t="str">
        <f t="shared" ref="BZ349:CB376" si="606">"x"</f>
        <v>x</v>
      </c>
      <c r="CA349" s="5" t="str">
        <f t="shared" si="606"/>
        <v>x</v>
      </c>
      <c r="CB349" s="5" t="str">
        <f t="shared" si="606"/>
        <v>x</v>
      </c>
      <c r="CC349" s="5" t="str">
        <f>""</f>
        <v/>
      </c>
      <c r="CD349" s="5" t="str">
        <f>"20,00"</f>
        <v>20,00</v>
      </c>
      <c r="CE349" s="5" t="str">
        <f>"2035"</f>
        <v>2035</v>
      </c>
      <c r="CF349" s="5" t="str">
        <f>""</f>
        <v/>
      </c>
      <c r="CG349" s="5" t="str">
        <f>"20,00"</f>
        <v>20,00</v>
      </c>
      <c r="CH349" s="5" t="str">
        <f>"2035"</f>
        <v>2035</v>
      </c>
      <c r="CI349" s="5" t="str">
        <f>"25,00"</f>
        <v>25,00</v>
      </c>
      <c r="CJ349" s="5" t="str">
        <f>"2023"</f>
        <v>2023</v>
      </c>
    </row>
    <row r="350" spans="1:88" ht="11.25" customHeight="1">
      <c r="A350" s="3" t="str">
        <f>"1.337"</f>
        <v>1.337</v>
      </c>
      <c r="B350" s="4" t="str">
        <f>"д. Сидоровское, улица. Центральная, д.12"</f>
        <v>д. Сидоровское, улица. Центральная, д.12</v>
      </c>
      <c r="C350" s="7" t="str">
        <f>"1987"</f>
        <v>1987</v>
      </c>
      <c r="D350" s="5" t="str">
        <f>""</f>
        <v/>
      </c>
      <c r="E350" s="5" t="str">
        <f>"35,00"</f>
        <v>35,00</v>
      </c>
      <c r="F350" s="5" t="str">
        <f>"2027"</f>
        <v>2027</v>
      </c>
      <c r="G350" s="5" t="str">
        <f>"нет"</f>
        <v>нет</v>
      </c>
      <c r="H350" s="5" t="str">
        <f>""</f>
        <v/>
      </c>
      <c r="I350" s="5" t="str">
        <f>""</f>
        <v/>
      </c>
      <c r="J350" s="5" t="str">
        <f>""</f>
        <v/>
      </c>
      <c r="K350" s="5" t="str">
        <f>"нет"</f>
        <v>нет</v>
      </c>
      <c r="L350" s="5" t="str">
        <f>""</f>
        <v/>
      </c>
      <c r="M350" s="5" t="str">
        <f>""</f>
        <v/>
      </c>
      <c r="N350" s="5" t="str">
        <f>""</f>
        <v/>
      </c>
      <c r="O350" s="8" t="str">
        <f>""</f>
        <v/>
      </c>
      <c r="P350" s="5" t="str">
        <f>"32,00"</f>
        <v>32,00</v>
      </c>
      <c r="Q350" s="5" t="str">
        <f>"2020"</f>
        <v>2020</v>
      </c>
      <c r="R350" s="5" t="str">
        <f>"нет"</f>
        <v>нет</v>
      </c>
      <c r="S350" s="5" t="str">
        <f>""</f>
        <v/>
      </c>
      <c r="T350" s="5" t="str">
        <f>""</f>
        <v/>
      </c>
      <c r="U350" s="5" t="str">
        <f>""</f>
        <v/>
      </c>
      <c r="V350" s="5" t="str">
        <f>"нет"</f>
        <v>нет</v>
      </c>
      <c r="W350" s="5" t="str">
        <f>""</f>
        <v/>
      </c>
      <c r="X350" s="5" t="str">
        <f>""</f>
        <v/>
      </c>
      <c r="Y350" s="9" t="str">
        <f>""</f>
        <v/>
      </c>
      <c r="Z350" s="5" t="str">
        <f>""</f>
        <v/>
      </c>
      <c r="AA350" s="5" t="str">
        <f>""</f>
        <v/>
      </c>
      <c r="AB350" s="5" t="str">
        <f>""</f>
        <v/>
      </c>
      <c r="AC350" s="5" t="str">
        <f>""</f>
        <v/>
      </c>
      <c r="AD350" s="5" t="str">
        <f>""</f>
        <v/>
      </c>
      <c r="AE350" s="5" t="str">
        <f>""</f>
        <v/>
      </c>
      <c r="AF350" s="5" t="str">
        <f>""</f>
        <v/>
      </c>
      <c r="AG350" s="5" t="str">
        <f>""</f>
        <v/>
      </c>
      <c r="AH350" s="5" t="str">
        <f>""</f>
        <v/>
      </c>
      <c r="AI350" s="5" t="str">
        <f>""</f>
        <v/>
      </c>
      <c r="AJ350" s="5" t="str">
        <f>""</f>
        <v/>
      </c>
      <c r="AK350" s="8" t="str">
        <f>""</f>
        <v/>
      </c>
      <c r="AL350" s="5" t="str">
        <f>"32,00"</f>
        <v>32,00</v>
      </c>
      <c r="AM350" s="5" t="str">
        <f>"2020"</f>
        <v>2020</v>
      </c>
      <c r="AN350" s="5" t="str">
        <f>"нет"</f>
        <v>нет</v>
      </c>
      <c r="AO350" s="5" t="str">
        <f>""</f>
        <v/>
      </c>
      <c r="AP350" s="5" t="str">
        <f>""</f>
        <v/>
      </c>
      <c r="AQ350" s="5" t="str">
        <f>""</f>
        <v/>
      </c>
      <c r="AR350" s="5" t="str">
        <f>"нет"</f>
        <v>нет</v>
      </c>
      <c r="AS350" s="5" t="str">
        <f>""</f>
        <v/>
      </c>
      <c r="AT350" s="5" t="str">
        <f>""</f>
        <v/>
      </c>
      <c r="AU350" s="5" t="str">
        <f>""</f>
        <v/>
      </c>
      <c r="AV350" s="5" t="str">
        <f>""</f>
        <v/>
      </c>
      <c r="AW350" s="5" t="str">
        <f>""</f>
        <v/>
      </c>
      <c r="AX350" s="5" t="str">
        <f>""</f>
        <v/>
      </c>
      <c r="AY350" s="5" t="str">
        <f>""</f>
        <v/>
      </c>
      <c r="AZ350" s="5" t="str">
        <f>""</f>
        <v/>
      </c>
      <c r="BA350" s="5" t="str">
        <f>""</f>
        <v/>
      </c>
      <c r="BB350" s="5" t="str">
        <f>""</f>
        <v/>
      </c>
      <c r="BC350" s="5" t="str">
        <f>""</f>
        <v/>
      </c>
      <c r="BD350" s="5" t="str">
        <f>""</f>
        <v/>
      </c>
      <c r="BE350" s="5" t="str">
        <f>""</f>
        <v/>
      </c>
      <c r="BF350" s="5" t="str">
        <f>""</f>
        <v/>
      </c>
      <c r="BG350" s="5" t="str">
        <f>""</f>
        <v/>
      </c>
      <c r="BH350" s="5" t="str">
        <f>"32,00"</f>
        <v>32,00</v>
      </c>
      <c r="BI350" s="5" t="str">
        <f>"2020"</f>
        <v>2020</v>
      </c>
      <c r="BJ350" s="5" t="str">
        <f>"нет"</f>
        <v>нет</v>
      </c>
      <c r="BK350" s="5" t="str">
        <f>""</f>
        <v/>
      </c>
      <c r="BL350" s="5" t="str">
        <f>""</f>
        <v/>
      </c>
      <c r="BM350" s="5" t="str">
        <f>""</f>
        <v/>
      </c>
      <c r="BN350" s="5" t="str">
        <f>"нет"</f>
        <v>нет</v>
      </c>
      <c r="BO350" s="5" t="str">
        <f>""</f>
        <v/>
      </c>
      <c r="BP350" s="5" t="str">
        <f>""</f>
        <v/>
      </c>
      <c r="BQ350" s="5" t="str">
        <f>""</f>
        <v/>
      </c>
      <c r="BR350" s="5" t="str">
        <f>"2009"</f>
        <v>2009</v>
      </c>
      <c r="BS350" s="5" t="str">
        <f>"5,00"</f>
        <v>5,00</v>
      </c>
      <c r="BT350" s="5" t="str">
        <f>"2039"</f>
        <v>2039</v>
      </c>
      <c r="BU350" s="5" t="str">
        <f t="shared" si="518"/>
        <v>нет</v>
      </c>
      <c r="BV350" s="5" t="str">
        <f t="shared" si="596"/>
        <v>x</v>
      </c>
      <c r="BW350" s="5" t="str">
        <f t="shared" si="596"/>
        <v>x</v>
      </c>
      <c r="BX350" s="5" t="str">
        <f t="shared" si="596"/>
        <v>x</v>
      </c>
      <c r="BY350" s="5" t="str">
        <f t="shared" si="605"/>
        <v>нет</v>
      </c>
      <c r="BZ350" s="5" t="str">
        <f t="shared" si="606"/>
        <v>x</v>
      </c>
      <c r="CA350" s="5" t="str">
        <f t="shared" si="606"/>
        <v>x</v>
      </c>
      <c r="CB350" s="5" t="str">
        <f t="shared" si="606"/>
        <v>x</v>
      </c>
      <c r="CC350" s="5" t="str">
        <f>""</f>
        <v/>
      </c>
      <c r="CD350" s="5" t="str">
        <f>"20,00"</f>
        <v>20,00</v>
      </c>
      <c r="CE350" s="5" t="str">
        <f>"2035"</f>
        <v>2035</v>
      </c>
      <c r="CF350" s="5" t="str">
        <f>""</f>
        <v/>
      </c>
      <c r="CG350" s="5" t="str">
        <f>"20,00"</f>
        <v>20,00</v>
      </c>
      <c r="CH350" s="5" t="str">
        <f>"2035"</f>
        <v>2035</v>
      </c>
      <c r="CI350" s="5" t="str">
        <f>"32,00"</f>
        <v>32,00</v>
      </c>
      <c r="CJ350" s="5" t="str">
        <f>"2022"</f>
        <v>2022</v>
      </c>
    </row>
    <row r="351" spans="1:88" ht="11.25" customHeight="1">
      <c r="A351" s="3" t="str">
        <f>"1.338"</f>
        <v>1.338</v>
      </c>
      <c r="B351" s="4" t="str">
        <f>"д. Скородумка (Юровское МО), ул. Новая, д.35"</f>
        <v>д. Скородумка (Юровское МО), ул. Новая, д.35</v>
      </c>
      <c r="C351" s="7" t="str">
        <f>"1995"</f>
        <v>1995</v>
      </c>
      <c r="D351" s="5" t="str">
        <f t="shared" ref="D351:AI351" si="607">"х"</f>
        <v>х</v>
      </c>
      <c r="E351" s="5" t="str">
        <f t="shared" si="607"/>
        <v>х</v>
      </c>
      <c r="F351" s="5" t="str">
        <f t="shared" si="607"/>
        <v>х</v>
      </c>
      <c r="G351" s="5" t="str">
        <f t="shared" si="607"/>
        <v>х</v>
      </c>
      <c r="H351" s="5" t="str">
        <f t="shared" si="607"/>
        <v>х</v>
      </c>
      <c r="I351" s="5" t="str">
        <f t="shared" si="607"/>
        <v>х</v>
      </c>
      <c r="J351" s="5" t="str">
        <f t="shared" si="607"/>
        <v>х</v>
      </c>
      <c r="K351" s="5" t="str">
        <f t="shared" si="607"/>
        <v>х</v>
      </c>
      <c r="L351" s="5" t="str">
        <f t="shared" si="607"/>
        <v>х</v>
      </c>
      <c r="M351" s="5" t="str">
        <f t="shared" si="607"/>
        <v>х</v>
      </c>
      <c r="N351" s="5" t="str">
        <f t="shared" si="607"/>
        <v>х</v>
      </c>
      <c r="O351" s="8" t="str">
        <f t="shared" si="607"/>
        <v>х</v>
      </c>
      <c r="P351" s="5" t="str">
        <f t="shared" si="607"/>
        <v>х</v>
      </c>
      <c r="Q351" s="5" t="str">
        <f t="shared" si="607"/>
        <v>х</v>
      </c>
      <c r="R351" s="5" t="str">
        <f t="shared" si="607"/>
        <v>х</v>
      </c>
      <c r="S351" s="5" t="str">
        <f t="shared" si="607"/>
        <v>х</v>
      </c>
      <c r="T351" s="5" t="str">
        <f t="shared" si="607"/>
        <v>х</v>
      </c>
      <c r="U351" s="5" t="str">
        <f t="shared" si="607"/>
        <v>х</v>
      </c>
      <c r="V351" s="5" t="str">
        <f t="shared" si="607"/>
        <v>х</v>
      </c>
      <c r="W351" s="5" t="str">
        <f t="shared" si="607"/>
        <v>х</v>
      </c>
      <c r="X351" s="5" t="str">
        <f t="shared" si="607"/>
        <v>х</v>
      </c>
      <c r="Y351" s="9" t="str">
        <f t="shared" si="607"/>
        <v>х</v>
      </c>
      <c r="Z351" s="5" t="str">
        <f t="shared" si="607"/>
        <v>х</v>
      </c>
      <c r="AA351" s="5" t="str">
        <f t="shared" si="607"/>
        <v>х</v>
      </c>
      <c r="AB351" s="5" t="str">
        <f t="shared" si="607"/>
        <v>х</v>
      </c>
      <c r="AC351" s="5" t="str">
        <f t="shared" si="607"/>
        <v>х</v>
      </c>
      <c r="AD351" s="5" t="str">
        <f t="shared" si="607"/>
        <v>х</v>
      </c>
      <c r="AE351" s="5" t="str">
        <f t="shared" si="607"/>
        <v>х</v>
      </c>
      <c r="AF351" s="5" t="str">
        <f t="shared" si="607"/>
        <v>х</v>
      </c>
      <c r="AG351" s="5" t="str">
        <f t="shared" si="607"/>
        <v>х</v>
      </c>
      <c r="AH351" s="5" t="str">
        <f t="shared" si="607"/>
        <v>х</v>
      </c>
      <c r="AI351" s="5" t="str">
        <f t="shared" si="607"/>
        <v>х</v>
      </c>
      <c r="AJ351" s="5" t="str">
        <f t="shared" ref="AJ351:BQ351" si="608">"х"</f>
        <v>х</v>
      </c>
      <c r="AK351" s="8" t="str">
        <f t="shared" si="608"/>
        <v>х</v>
      </c>
      <c r="AL351" s="5" t="str">
        <f t="shared" si="608"/>
        <v>х</v>
      </c>
      <c r="AM351" s="5" t="str">
        <f t="shared" si="608"/>
        <v>х</v>
      </c>
      <c r="AN351" s="5" t="str">
        <f t="shared" si="608"/>
        <v>х</v>
      </c>
      <c r="AO351" s="5" t="str">
        <f t="shared" si="608"/>
        <v>х</v>
      </c>
      <c r="AP351" s="5" t="str">
        <f t="shared" si="608"/>
        <v>х</v>
      </c>
      <c r="AQ351" s="5" t="str">
        <f t="shared" si="608"/>
        <v>х</v>
      </c>
      <c r="AR351" s="5" t="str">
        <f t="shared" si="608"/>
        <v>х</v>
      </c>
      <c r="AS351" s="5" t="str">
        <f t="shared" si="608"/>
        <v>х</v>
      </c>
      <c r="AT351" s="5" t="str">
        <f t="shared" si="608"/>
        <v>х</v>
      </c>
      <c r="AU351" s="5" t="str">
        <f t="shared" si="608"/>
        <v>х</v>
      </c>
      <c r="AV351" s="5" t="str">
        <f t="shared" si="608"/>
        <v>х</v>
      </c>
      <c r="AW351" s="5" t="str">
        <f t="shared" si="608"/>
        <v>х</v>
      </c>
      <c r="AX351" s="5" t="str">
        <f t="shared" si="608"/>
        <v>х</v>
      </c>
      <c r="AY351" s="5" t="str">
        <f t="shared" si="608"/>
        <v>х</v>
      </c>
      <c r="AZ351" s="5" t="str">
        <f t="shared" si="608"/>
        <v>х</v>
      </c>
      <c r="BA351" s="5" t="str">
        <f t="shared" si="608"/>
        <v>х</v>
      </c>
      <c r="BB351" s="5" t="str">
        <f t="shared" si="608"/>
        <v>х</v>
      </c>
      <c r="BC351" s="5" t="str">
        <f t="shared" si="608"/>
        <v>х</v>
      </c>
      <c r="BD351" s="5" t="str">
        <f t="shared" si="608"/>
        <v>х</v>
      </c>
      <c r="BE351" s="5" t="str">
        <f t="shared" si="608"/>
        <v>х</v>
      </c>
      <c r="BF351" s="5" t="str">
        <f t="shared" si="608"/>
        <v>х</v>
      </c>
      <c r="BG351" s="5" t="str">
        <f t="shared" si="608"/>
        <v>х</v>
      </c>
      <c r="BH351" s="5" t="str">
        <f t="shared" si="608"/>
        <v>х</v>
      </c>
      <c r="BI351" s="5" t="str">
        <f t="shared" si="608"/>
        <v>х</v>
      </c>
      <c r="BJ351" s="5" t="str">
        <f t="shared" si="608"/>
        <v>х</v>
      </c>
      <c r="BK351" s="5" t="str">
        <f t="shared" si="608"/>
        <v>х</v>
      </c>
      <c r="BL351" s="5" t="str">
        <f t="shared" si="608"/>
        <v>х</v>
      </c>
      <c r="BM351" s="5" t="str">
        <f t="shared" si="608"/>
        <v>х</v>
      </c>
      <c r="BN351" s="5" t="str">
        <f t="shared" si="608"/>
        <v>х</v>
      </c>
      <c r="BO351" s="5" t="str">
        <f t="shared" si="608"/>
        <v>х</v>
      </c>
      <c r="BP351" s="5" t="str">
        <f t="shared" si="608"/>
        <v>х</v>
      </c>
      <c r="BQ351" s="5" t="str">
        <f t="shared" si="608"/>
        <v>х</v>
      </c>
      <c r="BR351" s="5" t="str">
        <f>""</f>
        <v/>
      </c>
      <c r="BS351" s="5" t="str">
        <f>"25,00"</f>
        <v>25,00</v>
      </c>
      <c r="BT351" s="5" t="str">
        <f>"2020"</f>
        <v>2020</v>
      </c>
      <c r="BU351" s="5" t="str">
        <f t="shared" si="518"/>
        <v>нет</v>
      </c>
      <c r="BV351" s="5" t="str">
        <f t="shared" si="596"/>
        <v>x</v>
      </c>
      <c r="BW351" s="5" t="str">
        <f t="shared" si="596"/>
        <v>x</v>
      </c>
      <c r="BX351" s="5" t="str">
        <f t="shared" si="596"/>
        <v>x</v>
      </c>
      <c r="BY351" s="5" t="str">
        <f t="shared" si="605"/>
        <v>нет</v>
      </c>
      <c r="BZ351" s="5" t="str">
        <f t="shared" si="606"/>
        <v>x</v>
      </c>
      <c r="CA351" s="5" t="str">
        <f t="shared" si="606"/>
        <v>x</v>
      </c>
      <c r="CB351" s="5" t="str">
        <f t="shared" si="606"/>
        <v>x</v>
      </c>
      <c r="CC351" s="5" t="str">
        <f>""</f>
        <v/>
      </c>
      <c r="CD351" s="5" t="str">
        <f>"20,00"</f>
        <v>20,00</v>
      </c>
      <c r="CE351" s="5" t="str">
        <f>"2030"</f>
        <v>2030</v>
      </c>
      <c r="CF351" s="5" t="str">
        <f>""</f>
        <v/>
      </c>
      <c r="CG351" s="5" t="str">
        <f>"10,00"</f>
        <v>10,00</v>
      </c>
      <c r="CH351" s="5" t="str">
        <f>"2033"</f>
        <v>2033</v>
      </c>
      <c r="CI351" s="5" t="str">
        <f>"22,00"</f>
        <v>22,00</v>
      </c>
      <c r="CJ351" s="5" t="str">
        <f>"2043"</f>
        <v>2043</v>
      </c>
    </row>
    <row r="352" spans="1:88" ht="11.25" customHeight="1">
      <c r="A352" s="3" t="str">
        <f>"1.339"</f>
        <v>1.339</v>
      </c>
      <c r="B352" s="4" t="str">
        <f>"д. Скородумка (Юровское МО), ул. Тупиковая, д.59"</f>
        <v>д. Скородумка (Юровское МО), ул. Тупиковая, д.59</v>
      </c>
      <c r="C352" s="7" t="str">
        <f>"1972"</f>
        <v>1972</v>
      </c>
      <c r="D352" s="5" t="str">
        <f>""</f>
        <v/>
      </c>
      <c r="E352" s="5" t="str">
        <f>"67,00"</f>
        <v>67,00</v>
      </c>
      <c r="F352" s="5" t="str">
        <f>"2017"</f>
        <v>2017</v>
      </c>
      <c r="G352" s="5" t="str">
        <f>"да"</f>
        <v>да</v>
      </c>
      <c r="H352" s="5" t="str">
        <f>""</f>
        <v/>
      </c>
      <c r="I352" s="5" t="str">
        <f>"65,00"</f>
        <v>65,00</v>
      </c>
      <c r="J352" s="5" t="str">
        <f>"2017"</f>
        <v>2017</v>
      </c>
      <c r="K352" s="5" t="str">
        <f>"да"</f>
        <v>да</v>
      </c>
      <c r="L352" s="5" t="str">
        <f>""</f>
        <v/>
      </c>
      <c r="M352" s="5" t="str">
        <f>"67,00"</f>
        <v>67,00</v>
      </c>
      <c r="N352" s="5" t="str">
        <f>"2017"</f>
        <v>2017</v>
      </c>
      <c r="O352" s="8" t="str">
        <f>""</f>
        <v/>
      </c>
      <c r="P352" s="5" t="str">
        <f>"54,00"</f>
        <v>54,00</v>
      </c>
      <c r="Q352" s="5" t="str">
        <f>"2020"</f>
        <v>2020</v>
      </c>
      <c r="R352" s="5" t="str">
        <f t="shared" ref="R352:R357" si="609">"нет"</f>
        <v>нет</v>
      </c>
      <c r="S352" s="5" t="str">
        <f>""</f>
        <v/>
      </c>
      <c r="T352" s="5" t="str">
        <f>""</f>
        <v/>
      </c>
      <c r="U352" s="5" t="str">
        <f>""</f>
        <v/>
      </c>
      <c r="V352" s="5" t="str">
        <f t="shared" ref="V352:V357" si="610">"нет"</f>
        <v>нет</v>
      </c>
      <c r="W352" s="5" t="str">
        <f>""</f>
        <v/>
      </c>
      <c r="X352" s="5" t="str">
        <f>""</f>
        <v/>
      </c>
      <c r="Y352" s="9" t="str">
        <f>""</f>
        <v/>
      </c>
      <c r="Z352" s="5" t="str">
        <f>""</f>
        <v/>
      </c>
      <c r="AA352" s="5" t="str">
        <f>"35,00"</f>
        <v>35,00</v>
      </c>
      <c r="AB352" s="5" t="str">
        <f>"2023"</f>
        <v>2023</v>
      </c>
      <c r="AC352" s="5" t="str">
        <f t="shared" ref="AC352:AC371" si="611">"нет"</f>
        <v>нет</v>
      </c>
      <c r="AD352" s="5" t="str">
        <f>""</f>
        <v/>
      </c>
      <c r="AE352" s="5" t="str">
        <f>""</f>
        <v/>
      </c>
      <c r="AF352" s="5" t="str">
        <f>""</f>
        <v/>
      </c>
      <c r="AG352" s="5" t="str">
        <f t="shared" ref="AG352:AG371" si="612">"нет"</f>
        <v>нет</v>
      </c>
      <c r="AH352" s="5" t="str">
        <f>""</f>
        <v/>
      </c>
      <c r="AI352" s="5" t="str">
        <f>""</f>
        <v/>
      </c>
      <c r="AJ352" s="5" t="str">
        <f>""</f>
        <v/>
      </c>
      <c r="AK352" s="8" t="str">
        <f>""</f>
        <v/>
      </c>
      <c r="AL352" s="5" t="str">
        <f>"40,00"</f>
        <v>40,00</v>
      </c>
      <c r="AM352" s="5" t="str">
        <f>"2022"</f>
        <v>2022</v>
      </c>
      <c r="AN352" s="5" t="str">
        <f t="shared" ref="AN352:AN357" si="613">"нет"</f>
        <v>нет</v>
      </c>
      <c r="AO352" s="5" t="str">
        <f>""</f>
        <v/>
      </c>
      <c r="AP352" s="5" t="str">
        <f>""</f>
        <v/>
      </c>
      <c r="AQ352" s="5" t="str">
        <f>""</f>
        <v/>
      </c>
      <c r="AR352" s="5" t="str">
        <f t="shared" ref="AR352:AR357" si="614">"нет"</f>
        <v>нет</v>
      </c>
      <c r="AS352" s="5" t="str">
        <f>""</f>
        <v/>
      </c>
      <c r="AT352" s="5" t="str">
        <f>""</f>
        <v/>
      </c>
      <c r="AU352" s="5" t="str">
        <f>""</f>
        <v/>
      </c>
      <c r="AV352" s="5" t="str">
        <f t="shared" ref="AV352:BF358" si="615">"х"</f>
        <v>х</v>
      </c>
      <c r="AW352" s="5" t="str">
        <f t="shared" si="615"/>
        <v>х</v>
      </c>
      <c r="AX352" s="5" t="str">
        <f t="shared" si="615"/>
        <v>х</v>
      </c>
      <c r="AY352" s="5" t="str">
        <f t="shared" si="615"/>
        <v>х</v>
      </c>
      <c r="AZ352" s="5" t="str">
        <f t="shared" si="615"/>
        <v>х</v>
      </c>
      <c r="BA352" s="5" t="str">
        <f t="shared" si="615"/>
        <v>х</v>
      </c>
      <c r="BB352" s="5" t="str">
        <f t="shared" si="615"/>
        <v>х</v>
      </c>
      <c r="BC352" s="5" t="str">
        <f t="shared" si="615"/>
        <v>х</v>
      </c>
      <c r="BD352" s="5" t="str">
        <f t="shared" si="615"/>
        <v>х</v>
      </c>
      <c r="BE352" s="5" t="str">
        <f t="shared" si="615"/>
        <v>х</v>
      </c>
      <c r="BF352" s="5" t="str">
        <f t="shared" si="615"/>
        <v>х</v>
      </c>
      <c r="BG352" s="5" t="str">
        <f>""</f>
        <v/>
      </c>
      <c r="BH352" s="5" t="str">
        <f>"65,00"</f>
        <v>65,00</v>
      </c>
      <c r="BI352" s="5" t="str">
        <f>"2018"</f>
        <v>2018</v>
      </c>
      <c r="BJ352" s="5" t="str">
        <f t="shared" ref="BJ352:BJ357" si="616">"нет"</f>
        <v>нет</v>
      </c>
      <c r="BK352" s="5" t="str">
        <f>""</f>
        <v/>
      </c>
      <c r="BL352" s="5" t="str">
        <f>""</f>
        <v/>
      </c>
      <c r="BM352" s="5" t="str">
        <f>""</f>
        <v/>
      </c>
      <c r="BN352" s="5" t="str">
        <f t="shared" ref="BN352:BN357" si="617">"нет"</f>
        <v>нет</v>
      </c>
      <c r="BO352" s="5" t="str">
        <f>""</f>
        <v/>
      </c>
      <c r="BP352" s="5" t="str">
        <f>""</f>
        <v/>
      </c>
      <c r="BQ352" s="5" t="str">
        <f>""</f>
        <v/>
      </c>
      <c r="BR352" s="5" t="str">
        <f>""</f>
        <v/>
      </c>
      <c r="BS352" s="5" t="str">
        <f>"67,00"</f>
        <v>67,00</v>
      </c>
      <c r="BT352" s="5" t="str">
        <f>"2016"</f>
        <v>2016</v>
      </c>
      <c r="BU352" s="5" t="str">
        <f t="shared" si="518"/>
        <v>нет</v>
      </c>
      <c r="BV352" s="5" t="str">
        <f t="shared" si="596"/>
        <v>x</v>
      </c>
      <c r="BW352" s="5" t="str">
        <f t="shared" si="596"/>
        <v>x</v>
      </c>
      <c r="BX352" s="5" t="str">
        <f t="shared" si="596"/>
        <v>x</v>
      </c>
      <c r="BY352" s="5" t="str">
        <f t="shared" si="605"/>
        <v>нет</v>
      </c>
      <c r="BZ352" s="5" t="str">
        <f t="shared" si="606"/>
        <v>x</v>
      </c>
      <c r="CA352" s="5" t="str">
        <f t="shared" si="606"/>
        <v>x</v>
      </c>
      <c r="CB352" s="5" t="str">
        <f t="shared" si="606"/>
        <v>x</v>
      </c>
      <c r="CC352" s="5" t="str">
        <f>""</f>
        <v/>
      </c>
      <c r="CD352" s="5" t="str">
        <f>"67,00"</f>
        <v>67,00</v>
      </c>
      <c r="CE352" s="5" t="str">
        <f>"2024"</f>
        <v>2024</v>
      </c>
      <c r="CF352" s="5" t="str">
        <f>""</f>
        <v/>
      </c>
      <c r="CG352" s="5" t="str">
        <f>"65,00"</f>
        <v>65,00</v>
      </c>
      <c r="CH352" s="5" t="str">
        <f>"2025"</f>
        <v>2025</v>
      </c>
      <c r="CI352" s="5" t="str">
        <f>"67,00"</f>
        <v>67,00</v>
      </c>
      <c r="CJ352" s="5" t="str">
        <f>"2040"</f>
        <v>2040</v>
      </c>
    </row>
    <row r="353" spans="1:88" ht="11.25" customHeight="1">
      <c r="A353" s="3" t="str">
        <f>"1.340"</f>
        <v>1.340</v>
      </c>
      <c r="B353" s="4" t="str">
        <f>"д. Скородумка (Юровское МО), ул. Тупиковая, д.62"</f>
        <v>д. Скородумка (Юровское МО), ул. Тупиковая, д.62</v>
      </c>
      <c r="C353" s="7" t="str">
        <f>"1976"</f>
        <v>1976</v>
      </c>
      <c r="D353" s="5" t="str">
        <f>""</f>
        <v/>
      </c>
      <c r="E353" s="5" t="str">
        <f>"67,00"</f>
        <v>67,00</v>
      </c>
      <c r="F353" s="5" t="str">
        <f>"2017"</f>
        <v>2017</v>
      </c>
      <c r="G353" s="5" t="str">
        <f>"да"</f>
        <v>да</v>
      </c>
      <c r="H353" s="5" t="str">
        <f>""</f>
        <v/>
      </c>
      <c r="I353" s="5" t="str">
        <f>"67,00"</f>
        <v>67,00</v>
      </c>
      <c r="J353" s="5" t="str">
        <f>"2017"</f>
        <v>2017</v>
      </c>
      <c r="K353" s="5" t="str">
        <f>"да"</f>
        <v>да</v>
      </c>
      <c r="L353" s="5" t="str">
        <f>""</f>
        <v/>
      </c>
      <c r="M353" s="5" t="str">
        <f>"67,00"</f>
        <v>67,00</v>
      </c>
      <c r="N353" s="5" t="str">
        <f>"2017"</f>
        <v>2017</v>
      </c>
      <c r="O353" s="8" t="str">
        <f>""</f>
        <v/>
      </c>
      <c r="P353" s="5" t="str">
        <f>"50,00"</f>
        <v>50,00</v>
      </c>
      <c r="Q353" s="5" t="str">
        <f>"2018"</f>
        <v>2018</v>
      </c>
      <c r="R353" s="5" t="str">
        <f t="shared" si="609"/>
        <v>нет</v>
      </c>
      <c r="S353" s="5" t="str">
        <f>""</f>
        <v/>
      </c>
      <c r="T353" s="5" t="str">
        <f>""</f>
        <v/>
      </c>
      <c r="U353" s="5" t="str">
        <f>""</f>
        <v/>
      </c>
      <c r="V353" s="5" t="str">
        <f t="shared" si="610"/>
        <v>нет</v>
      </c>
      <c r="W353" s="5" t="str">
        <f>""</f>
        <v/>
      </c>
      <c r="X353" s="5" t="str">
        <f>""</f>
        <v/>
      </c>
      <c r="Y353" s="9" t="str">
        <f>""</f>
        <v/>
      </c>
      <c r="Z353" s="5" t="str">
        <f>""</f>
        <v/>
      </c>
      <c r="AA353" s="5" t="str">
        <f>"45,00"</f>
        <v>45,00</v>
      </c>
      <c r="AB353" s="5" t="str">
        <f>"2019"</f>
        <v>2019</v>
      </c>
      <c r="AC353" s="5" t="str">
        <f t="shared" si="611"/>
        <v>нет</v>
      </c>
      <c r="AD353" s="5" t="str">
        <f>""</f>
        <v/>
      </c>
      <c r="AE353" s="5" t="str">
        <f>""</f>
        <v/>
      </c>
      <c r="AF353" s="5" t="str">
        <f>""</f>
        <v/>
      </c>
      <c r="AG353" s="5" t="str">
        <f t="shared" si="612"/>
        <v>нет</v>
      </c>
      <c r="AH353" s="5" t="str">
        <f>""</f>
        <v/>
      </c>
      <c r="AI353" s="5" t="str">
        <f>""</f>
        <v/>
      </c>
      <c r="AJ353" s="5" t="str">
        <f>""</f>
        <v/>
      </c>
      <c r="AK353" s="8" t="str">
        <f>""</f>
        <v/>
      </c>
      <c r="AL353" s="5" t="str">
        <f>"30,00"</f>
        <v>30,00</v>
      </c>
      <c r="AM353" s="5" t="str">
        <f>"2020"</f>
        <v>2020</v>
      </c>
      <c r="AN353" s="5" t="str">
        <f t="shared" si="613"/>
        <v>нет</v>
      </c>
      <c r="AO353" s="5" t="str">
        <f>""</f>
        <v/>
      </c>
      <c r="AP353" s="5" t="str">
        <f>""</f>
        <v/>
      </c>
      <c r="AQ353" s="5" t="str">
        <f>""</f>
        <v/>
      </c>
      <c r="AR353" s="5" t="str">
        <f t="shared" si="614"/>
        <v>нет</v>
      </c>
      <c r="AS353" s="5" t="str">
        <f>""</f>
        <v/>
      </c>
      <c r="AT353" s="5" t="str">
        <f>""</f>
        <v/>
      </c>
      <c r="AU353" s="5" t="str">
        <f>""</f>
        <v/>
      </c>
      <c r="AV353" s="5" t="str">
        <f t="shared" si="615"/>
        <v>х</v>
      </c>
      <c r="AW353" s="5" t="str">
        <f t="shared" si="615"/>
        <v>х</v>
      </c>
      <c r="AX353" s="5" t="str">
        <f t="shared" si="615"/>
        <v>х</v>
      </c>
      <c r="AY353" s="5" t="str">
        <f t="shared" si="615"/>
        <v>х</v>
      </c>
      <c r="AZ353" s="5" t="str">
        <f t="shared" si="615"/>
        <v>х</v>
      </c>
      <c r="BA353" s="5" t="str">
        <f t="shared" si="615"/>
        <v>х</v>
      </c>
      <c r="BB353" s="5" t="str">
        <f t="shared" si="615"/>
        <v>х</v>
      </c>
      <c r="BC353" s="5" t="str">
        <f t="shared" si="615"/>
        <v>х</v>
      </c>
      <c r="BD353" s="5" t="str">
        <f t="shared" si="615"/>
        <v>х</v>
      </c>
      <c r="BE353" s="5" t="str">
        <f t="shared" si="615"/>
        <v>х</v>
      </c>
      <c r="BF353" s="5" t="str">
        <f t="shared" si="615"/>
        <v>х</v>
      </c>
      <c r="BG353" s="5" t="str">
        <f>""</f>
        <v/>
      </c>
      <c r="BH353" s="5" t="str">
        <f>"30,00"</f>
        <v>30,00</v>
      </c>
      <c r="BI353" s="5" t="str">
        <f>"2021"</f>
        <v>2021</v>
      </c>
      <c r="BJ353" s="5" t="str">
        <f t="shared" si="616"/>
        <v>нет</v>
      </c>
      <c r="BK353" s="5" t="str">
        <f>""</f>
        <v/>
      </c>
      <c r="BL353" s="5" t="str">
        <f>""</f>
        <v/>
      </c>
      <c r="BM353" s="5" t="str">
        <f>""</f>
        <v/>
      </c>
      <c r="BN353" s="5" t="str">
        <f t="shared" si="617"/>
        <v>нет</v>
      </c>
      <c r="BO353" s="5" t="str">
        <f>""</f>
        <v/>
      </c>
      <c r="BP353" s="5" t="str">
        <f>""</f>
        <v/>
      </c>
      <c r="BQ353" s="5" t="str">
        <f>""</f>
        <v/>
      </c>
      <c r="BR353" s="5" t="str">
        <f>"2009"</f>
        <v>2009</v>
      </c>
      <c r="BS353" s="5" t="str">
        <f>"10,00"</f>
        <v>10,00</v>
      </c>
      <c r="BT353" s="5" t="str">
        <f>"2033"</f>
        <v>2033</v>
      </c>
      <c r="BU353" s="5" t="str">
        <f t="shared" si="518"/>
        <v>нет</v>
      </c>
      <c r="BV353" s="5" t="str">
        <f t="shared" si="596"/>
        <v>x</v>
      </c>
      <c r="BW353" s="5" t="str">
        <f t="shared" si="596"/>
        <v>x</v>
      </c>
      <c r="BX353" s="5" t="str">
        <f t="shared" si="596"/>
        <v>x</v>
      </c>
      <c r="BY353" s="5" t="str">
        <f t="shared" si="605"/>
        <v>нет</v>
      </c>
      <c r="BZ353" s="5" t="str">
        <f t="shared" si="606"/>
        <v>x</v>
      </c>
      <c r="CA353" s="5" t="str">
        <f t="shared" si="606"/>
        <v>x</v>
      </c>
      <c r="CB353" s="5" t="str">
        <f t="shared" si="606"/>
        <v>x</v>
      </c>
      <c r="CC353" s="5" t="str">
        <f>""</f>
        <v/>
      </c>
      <c r="CD353" s="5" t="str">
        <f>"50,00"</f>
        <v>50,00</v>
      </c>
      <c r="CE353" s="5" t="str">
        <f>"2028"</f>
        <v>2028</v>
      </c>
      <c r="CF353" s="5" t="str">
        <f>""</f>
        <v/>
      </c>
      <c r="CG353" s="5" t="str">
        <f>"45,00"</f>
        <v>45,00</v>
      </c>
      <c r="CH353" s="5" t="str">
        <f>"2029"</f>
        <v>2029</v>
      </c>
      <c r="CI353" s="5" t="str">
        <f>"67,00"</f>
        <v>67,00</v>
      </c>
      <c r="CJ353" s="5" t="str">
        <f>"2041"</f>
        <v>2041</v>
      </c>
    </row>
    <row r="354" spans="1:88" ht="11.25" customHeight="1">
      <c r="A354" s="3" t="str">
        <f>"1.341"</f>
        <v>1.341</v>
      </c>
      <c r="B354" s="4" t="str">
        <f>"д. Скородумка (Юровское МО), ул. Центральная, д.56"</f>
        <v>д. Скородумка (Юровское МО), ул. Центральная, д.56</v>
      </c>
      <c r="C354" s="7" t="str">
        <f>"1981"</f>
        <v>1981</v>
      </c>
      <c r="D354" s="5" t="str">
        <f>""</f>
        <v/>
      </c>
      <c r="E354" s="5" t="str">
        <f>"30,00"</f>
        <v>30,00</v>
      </c>
      <c r="F354" s="5" t="str">
        <f>"2028"</f>
        <v>2028</v>
      </c>
      <c r="G354" s="5" t="str">
        <f>"да"</f>
        <v>да</v>
      </c>
      <c r="H354" s="5" t="str">
        <f>""</f>
        <v/>
      </c>
      <c r="I354" s="5" t="str">
        <f>"20,00"</f>
        <v>20,00</v>
      </c>
      <c r="J354" s="5" t="str">
        <f>"2028"</f>
        <v>2028</v>
      </c>
      <c r="K354" s="5" t="str">
        <f>"да"</f>
        <v>да</v>
      </c>
      <c r="L354" s="5" t="str">
        <f>""</f>
        <v/>
      </c>
      <c r="M354" s="5" t="str">
        <f>"59,00"</f>
        <v>59,00</v>
      </c>
      <c r="N354" s="5" t="str">
        <f>"2018"</f>
        <v>2018</v>
      </c>
      <c r="O354" s="8" t="str">
        <f>""</f>
        <v/>
      </c>
      <c r="P354" s="5" t="str">
        <f>"30,00"</f>
        <v>30,00</v>
      </c>
      <c r="Q354" s="5" t="str">
        <f>"2029"</f>
        <v>2029</v>
      </c>
      <c r="R354" s="5" t="str">
        <f t="shared" si="609"/>
        <v>нет</v>
      </c>
      <c r="S354" s="5" t="str">
        <f>""</f>
        <v/>
      </c>
      <c r="T354" s="5" t="str">
        <f>""</f>
        <v/>
      </c>
      <c r="U354" s="5" t="str">
        <f>""</f>
        <v/>
      </c>
      <c r="V354" s="5" t="str">
        <f t="shared" si="610"/>
        <v>нет</v>
      </c>
      <c r="W354" s="5" t="str">
        <f>""</f>
        <v/>
      </c>
      <c r="X354" s="5" t="str">
        <f>""</f>
        <v/>
      </c>
      <c r="Y354" s="9" t="str">
        <f>""</f>
        <v/>
      </c>
      <c r="Z354" s="5" t="str">
        <f>""</f>
        <v/>
      </c>
      <c r="AA354" s="5" t="str">
        <f>"15,00"</f>
        <v>15,00</v>
      </c>
      <c r="AB354" s="5" t="str">
        <f>"2032"</f>
        <v>2032</v>
      </c>
      <c r="AC354" s="5" t="str">
        <f t="shared" si="611"/>
        <v>нет</v>
      </c>
      <c r="AD354" s="5" t="str">
        <f>""</f>
        <v/>
      </c>
      <c r="AE354" s="5" t="str">
        <f>""</f>
        <v/>
      </c>
      <c r="AF354" s="5" t="str">
        <f>""</f>
        <v/>
      </c>
      <c r="AG354" s="5" t="str">
        <f t="shared" si="612"/>
        <v>нет</v>
      </c>
      <c r="AH354" s="5" t="str">
        <f>""</f>
        <v/>
      </c>
      <c r="AI354" s="5" t="str">
        <f>""</f>
        <v/>
      </c>
      <c r="AJ354" s="5" t="str">
        <f>""</f>
        <v/>
      </c>
      <c r="AK354" s="8" t="str">
        <f>""</f>
        <v/>
      </c>
      <c r="AL354" s="5" t="str">
        <f>"20,00"</f>
        <v>20,00</v>
      </c>
      <c r="AM354" s="5" t="str">
        <f>"2031"</f>
        <v>2031</v>
      </c>
      <c r="AN354" s="5" t="str">
        <f t="shared" si="613"/>
        <v>нет</v>
      </c>
      <c r="AO354" s="5" t="str">
        <f>""</f>
        <v/>
      </c>
      <c r="AP354" s="5" t="str">
        <f>""</f>
        <v/>
      </c>
      <c r="AQ354" s="5" t="str">
        <f>""</f>
        <v/>
      </c>
      <c r="AR354" s="5" t="str">
        <f t="shared" si="614"/>
        <v>нет</v>
      </c>
      <c r="AS354" s="5" t="str">
        <f>""</f>
        <v/>
      </c>
      <c r="AT354" s="5" t="str">
        <f>""</f>
        <v/>
      </c>
      <c r="AU354" s="5" t="str">
        <f>""</f>
        <v/>
      </c>
      <c r="AV354" s="5" t="str">
        <f t="shared" si="615"/>
        <v>х</v>
      </c>
      <c r="AW354" s="5" t="str">
        <f t="shared" si="615"/>
        <v>х</v>
      </c>
      <c r="AX354" s="5" t="str">
        <f t="shared" si="615"/>
        <v>х</v>
      </c>
      <c r="AY354" s="5" t="str">
        <f t="shared" si="615"/>
        <v>х</v>
      </c>
      <c r="AZ354" s="5" t="str">
        <f t="shared" si="615"/>
        <v>х</v>
      </c>
      <c r="BA354" s="5" t="str">
        <f t="shared" si="615"/>
        <v>х</v>
      </c>
      <c r="BB354" s="5" t="str">
        <f t="shared" si="615"/>
        <v>х</v>
      </c>
      <c r="BC354" s="5" t="str">
        <f t="shared" si="615"/>
        <v>х</v>
      </c>
      <c r="BD354" s="5" t="str">
        <f t="shared" si="615"/>
        <v>х</v>
      </c>
      <c r="BE354" s="5" t="str">
        <f t="shared" si="615"/>
        <v>х</v>
      </c>
      <c r="BF354" s="5" t="str">
        <f t="shared" si="615"/>
        <v>х</v>
      </c>
      <c r="BG354" s="5" t="str">
        <f>""</f>
        <v/>
      </c>
      <c r="BH354" s="5" t="str">
        <f>"20,00"</f>
        <v>20,00</v>
      </c>
      <c r="BI354" s="5" t="str">
        <f>"2032"</f>
        <v>2032</v>
      </c>
      <c r="BJ354" s="5" t="str">
        <f t="shared" si="616"/>
        <v>нет</v>
      </c>
      <c r="BK354" s="5" t="str">
        <f>""</f>
        <v/>
      </c>
      <c r="BL354" s="5" t="str">
        <f>""</f>
        <v/>
      </c>
      <c r="BM354" s="5" t="str">
        <f>""</f>
        <v/>
      </c>
      <c r="BN354" s="5" t="str">
        <f t="shared" si="617"/>
        <v>нет</v>
      </c>
      <c r="BO354" s="5" t="str">
        <f>""</f>
        <v/>
      </c>
      <c r="BP354" s="5" t="str">
        <f>""</f>
        <v/>
      </c>
      <c r="BQ354" s="5" t="str">
        <f>""</f>
        <v/>
      </c>
      <c r="BR354" s="5" t="str">
        <f>""</f>
        <v/>
      </c>
      <c r="BS354" s="5" t="str">
        <f>"29,00"</f>
        <v>29,00</v>
      </c>
      <c r="BT354" s="5" t="str">
        <f>"2020"</f>
        <v>2020</v>
      </c>
      <c r="BU354" s="5" t="str">
        <f t="shared" si="518"/>
        <v>нет</v>
      </c>
      <c r="BV354" s="5" t="str">
        <f t="shared" si="596"/>
        <v>x</v>
      </c>
      <c r="BW354" s="5" t="str">
        <f t="shared" si="596"/>
        <v>x</v>
      </c>
      <c r="BX354" s="5" t="str">
        <f t="shared" si="596"/>
        <v>x</v>
      </c>
      <c r="BY354" s="5" t="str">
        <f t="shared" si="605"/>
        <v>нет</v>
      </c>
      <c r="BZ354" s="5" t="str">
        <f t="shared" si="606"/>
        <v>x</v>
      </c>
      <c r="CA354" s="5" t="str">
        <f t="shared" si="606"/>
        <v>x</v>
      </c>
      <c r="CB354" s="5" t="str">
        <f t="shared" si="606"/>
        <v>x</v>
      </c>
      <c r="CC354" s="5" t="str">
        <f>""</f>
        <v/>
      </c>
      <c r="CD354" s="5" t="str">
        <f>"20,00"</f>
        <v>20,00</v>
      </c>
      <c r="CE354" s="5" t="str">
        <f>"2033"</f>
        <v>2033</v>
      </c>
      <c r="CF354" s="5" t="str">
        <f>""</f>
        <v/>
      </c>
      <c r="CG354" s="5" t="str">
        <f>"20,00"</f>
        <v>20,00</v>
      </c>
      <c r="CH354" s="5" t="str">
        <f>"2032"</f>
        <v>2032</v>
      </c>
      <c r="CI354" s="5" t="str">
        <f>"29,00"</f>
        <v>29,00</v>
      </c>
      <c r="CJ354" s="5" t="str">
        <f>"2042"</f>
        <v>2042</v>
      </c>
    </row>
    <row r="355" spans="1:88" ht="11.25" customHeight="1">
      <c r="A355" s="3" t="str">
        <f>"1.342"</f>
        <v>1.342</v>
      </c>
      <c r="B355" s="4" t="str">
        <f>"д. Скородумка (Юровское МО), ул. Центральная, д.57"</f>
        <v>д. Скородумка (Юровское МО), ул. Центральная, д.57</v>
      </c>
      <c r="C355" s="7" t="str">
        <f>"1984"</f>
        <v>1984</v>
      </c>
      <c r="D355" s="5" t="str">
        <f>""</f>
        <v/>
      </c>
      <c r="E355" s="5" t="str">
        <f>"29,00"</f>
        <v>29,00</v>
      </c>
      <c r="F355" s="5" t="str">
        <f>"2030"</f>
        <v>2030</v>
      </c>
      <c r="G355" s="5" t="str">
        <f>"да"</f>
        <v>да</v>
      </c>
      <c r="H355" s="5" t="str">
        <f>""</f>
        <v/>
      </c>
      <c r="I355" s="5" t="str">
        <f>"20,00"</f>
        <v>20,00</v>
      </c>
      <c r="J355" s="5" t="str">
        <f>"2030"</f>
        <v>2030</v>
      </c>
      <c r="K355" s="5" t="str">
        <f>"да"</f>
        <v>да</v>
      </c>
      <c r="L355" s="5" t="str">
        <f>""</f>
        <v/>
      </c>
      <c r="M355" s="5" t="str">
        <f>"20,00"</f>
        <v>20,00</v>
      </c>
      <c r="N355" s="5" t="str">
        <f>"2030"</f>
        <v>2030</v>
      </c>
      <c r="O355" s="8" t="str">
        <f>""</f>
        <v/>
      </c>
      <c r="P355" s="5" t="str">
        <f>"25,00"</f>
        <v>25,00</v>
      </c>
      <c r="Q355" s="5" t="str">
        <f>"2031"</f>
        <v>2031</v>
      </c>
      <c r="R355" s="5" t="str">
        <f t="shared" si="609"/>
        <v>нет</v>
      </c>
      <c r="S355" s="5" t="str">
        <f>""</f>
        <v/>
      </c>
      <c r="T355" s="5" t="str">
        <f>""</f>
        <v/>
      </c>
      <c r="U355" s="5" t="str">
        <f>""</f>
        <v/>
      </c>
      <c r="V355" s="5" t="str">
        <f t="shared" si="610"/>
        <v>нет</v>
      </c>
      <c r="W355" s="5" t="str">
        <f>""</f>
        <v/>
      </c>
      <c r="X355" s="5" t="str">
        <f>""</f>
        <v/>
      </c>
      <c r="Y355" s="9" t="str">
        <f>""</f>
        <v/>
      </c>
      <c r="Z355" s="5" t="str">
        <f>""</f>
        <v/>
      </c>
      <c r="AA355" s="5" t="str">
        <f>"15,00"</f>
        <v>15,00</v>
      </c>
      <c r="AB355" s="5" t="str">
        <f>"2035"</f>
        <v>2035</v>
      </c>
      <c r="AC355" s="5" t="str">
        <f t="shared" si="611"/>
        <v>нет</v>
      </c>
      <c r="AD355" s="5" t="str">
        <f>""</f>
        <v/>
      </c>
      <c r="AE355" s="5" t="str">
        <f>""</f>
        <v/>
      </c>
      <c r="AF355" s="5" t="str">
        <f>""</f>
        <v/>
      </c>
      <c r="AG355" s="5" t="str">
        <f t="shared" si="612"/>
        <v>нет</v>
      </c>
      <c r="AH355" s="5" t="str">
        <f>""</f>
        <v/>
      </c>
      <c r="AI355" s="5" t="str">
        <f>""</f>
        <v/>
      </c>
      <c r="AJ355" s="5" t="str">
        <f>""</f>
        <v/>
      </c>
      <c r="AK355" s="8" t="str">
        <f>""</f>
        <v/>
      </c>
      <c r="AL355" s="5" t="str">
        <f>"20,00"</f>
        <v>20,00</v>
      </c>
      <c r="AM355" s="5" t="str">
        <f>"2032"</f>
        <v>2032</v>
      </c>
      <c r="AN355" s="5" t="str">
        <f t="shared" si="613"/>
        <v>нет</v>
      </c>
      <c r="AO355" s="5" t="str">
        <f>""</f>
        <v/>
      </c>
      <c r="AP355" s="5" t="str">
        <f>""</f>
        <v/>
      </c>
      <c r="AQ355" s="5" t="str">
        <f>""</f>
        <v/>
      </c>
      <c r="AR355" s="5" t="str">
        <f t="shared" si="614"/>
        <v>нет</v>
      </c>
      <c r="AS355" s="5" t="str">
        <f>""</f>
        <v/>
      </c>
      <c r="AT355" s="5" t="str">
        <f>""</f>
        <v/>
      </c>
      <c r="AU355" s="5" t="str">
        <f>""</f>
        <v/>
      </c>
      <c r="AV355" s="5" t="str">
        <f t="shared" si="615"/>
        <v>х</v>
      </c>
      <c r="AW355" s="5" t="str">
        <f t="shared" si="615"/>
        <v>х</v>
      </c>
      <c r="AX355" s="5" t="str">
        <f t="shared" si="615"/>
        <v>х</v>
      </c>
      <c r="AY355" s="5" t="str">
        <f t="shared" si="615"/>
        <v>х</v>
      </c>
      <c r="AZ355" s="5" t="str">
        <f t="shared" si="615"/>
        <v>х</v>
      </c>
      <c r="BA355" s="5" t="str">
        <f t="shared" si="615"/>
        <v>х</v>
      </c>
      <c r="BB355" s="5" t="str">
        <f t="shared" si="615"/>
        <v>х</v>
      </c>
      <c r="BC355" s="5" t="str">
        <f t="shared" si="615"/>
        <v>х</v>
      </c>
      <c r="BD355" s="5" t="str">
        <f t="shared" si="615"/>
        <v>х</v>
      </c>
      <c r="BE355" s="5" t="str">
        <f t="shared" si="615"/>
        <v>х</v>
      </c>
      <c r="BF355" s="5" t="str">
        <f t="shared" si="615"/>
        <v>х</v>
      </c>
      <c r="BG355" s="5" t="str">
        <f>""</f>
        <v/>
      </c>
      <c r="BH355" s="5" t="str">
        <f>"20,00"</f>
        <v>20,00</v>
      </c>
      <c r="BI355" s="5" t="str">
        <f>"2033"</f>
        <v>2033</v>
      </c>
      <c r="BJ355" s="5" t="str">
        <f t="shared" si="616"/>
        <v>нет</v>
      </c>
      <c r="BK355" s="5" t="str">
        <f>""</f>
        <v/>
      </c>
      <c r="BL355" s="5" t="str">
        <f>""</f>
        <v/>
      </c>
      <c r="BM355" s="5" t="str">
        <f>""</f>
        <v/>
      </c>
      <c r="BN355" s="5" t="str">
        <f t="shared" si="617"/>
        <v>нет</v>
      </c>
      <c r="BO355" s="5" t="str">
        <f>""</f>
        <v/>
      </c>
      <c r="BP355" s="5" t="str">
        <f>""</f>
        <v/>
      </c>
      <c r="BQ355" s="5" t="str">
        <f>""</f>
        <v/>
      </c>
      <c r="BR355" s="5" t="str">
        <f>""</f>
        <v/>
      </c>
      <c r="BS355" s="5" t="str">
        <f>"29,00"</f>
        <v>29,00</v>
      </c>
      <c r="BT355" s="5" t="str">
        <f>"2017"</f>
        <v>2017</v>
      </c>
      <c r="BU355" s="5" t="str">
        <f t="shared" si="518"/>
        <v>нет</v>
      </c>
      <c r="BV355" s="5" t="str">
        <f t="shared" si="596"/>
        <v>x</v>
      </c>
      <c r="BW355" s="5" t="str">
        <f t="shared" si="596"/>
        <v>x</v>
      </c>
      <c r="BX355" s="5" t="str">
        <f t="shared" si="596"/>
        <v>x</v>
      </c>
      <c r="BY355" s="5" t="str">
        <f t="shared" si="605"/>
        <v>нет</v>
      </c>
      <c r="BZ355" s="5" t="str">
        <f t="shared" si="606"/>
        <v>x</v>
      </c>
      <c r="CA355" s="5" t="str">
        <f t="shared" si="606"/>
        <v>x</v>
      </c>
      <c r="CB355" s="5" t="str">
        <f t="shared" si="606"/>
        <v>x</v>
      </c>
      <c r="CC355" s="5" t="str">
        <f>""</f>
        <v/>
      </c>
      <c r="CD355" s="5" t="str">
        <f>"20,00"</f>
        <v>20,00</v>
      </c>
      <c r="CE355" s="5" t="str">
        <f>"2028"</f>
        <v>2028</v>
      </c>
      <c r="CF355" s="5" t="str">
        <f>""</f>
        <v/>
      </c>
      <c r="CG355" s="5" t="str">
        <f>"18,00"</f>
        <v>18,00</v>
      </c>
      <c r="CH355" s="5" t="str">
        <f>"2029"</f>
        <v>2029</v>
      </c>
      <c r="CI355" s="5" t="str">
        <f>"29,00"</f>
        <v>29,00</v>
      </c>
      <c r="CJ355" s="5" t="str">
        <f>"2043"</f>
        <v>2043</v>
      </c>
    </row>
    <row r="356" spans="1:88" ht="11.25" customHeight="1">
      <c r="A356" s="3" t="str">
        <f>"1.343"</f>
        <v>1.343</v>
      </c>
      <c r="B356" s="4" t="str">
        <f>"д. Скородумка (Юровское МО), ул. Центральная, д.58"</f>
        <v>д. Скородумка (Юровское МО), ул. Центральная, д.58</v>
      </c>
      <c r="C356" s="7" t="str">
        <f>"1984"</f>
        <v>1984</v>
      </c>
      <c r="D356" s="5" t="str">
        <f>""</f>
        <v/>
      </c>
      <c r="E356" s="5" t="str">
        <f>"28,00"</f>
        <v>28,00</v>
      </c>
      <c r="F356" s="5" t="str">
        <f>"2026"</f>
        <v>2026</v>
      </c>
      <c r="G356" s="5" t="str">
        <f>"да"</f>
        <v>да</v>
      </c>
      <c r="H356" s="5" t="str">
        <f>""</f>
        <v/>
      </c>
      <c r="I356" s="5" t="str">
        <f>"25,00"</f>
        <v>25,00</v>
      </c>
      <c r="J356" s="5" t="str">
        <f>"2026"</f>
        <v>2026</v>
      </c>
      <c r="K356" s="5" t="str">
        <f>"да"</f>
        <v>да</v>
      </c>
      <c r="L356" s="5" t="str">
        <f>""</f>
        <v/>
      </c>
      <c r="M356" s="5" t="str">
        <f>"48,00"</f>
        <v>48,00</v>
      </c>
      <c r="N356" s="5" t="str">
        <f>"2018"</f>
        <v>2018</v>
      </c>
      <c r="O356" s="8" t="str">
        <f>""</f>
        <v/>
      </c>
      <c r="P356" s="5" t="str">
        <f>"30,00"</f>
        <v>30,00</v>
      </c>
      <c r="Q356" s="5" t="str">
        <f>"2027"</f>
        <v>2027</v>
      </c>
      <c r="R356" s="5" t="str">
        <f t="shared" si="609"/>
        <v>нет</v>
      </c>
      <c r="S356" s="5" t="str">
        <f>""</f>
        <v/>
      </c>
      <c r="T356" s="5" t="str">
        <f>""</f>
        <v/>
      </c>
      <c r="U356" s="5" t="str">
        <f>""</f>
        <v/>
      </c>
      <c r="V356" s="5" t="str">
        <f t="shared" si="610"/>
        <v>нет</v>
      </c>
      <c r="W356" s="5" t="str">
        <f>""</f>
        <v/>
      </c>
      <c r="X356" s="5" t="str">
        <f>""</f>
        <v/>
      </c>
      <c r="Y356" s="9" t="str">
        <f>""</f>
        <v/>
      </c>
      <c r="Z356" s="5" t="str">
        <f>""</f>
        <v/>
      </c>
      <c r="AA356" s="5" t="str">
        <f>"15,00"</f>
        <v>15,00</v>
      </c>
      <c r="AB356" s="5" t="str">
        <f>"2033"</f>
        <v>2033</v>
      </c>
      <c r="AC356" s="5" t="str">
        <f t="shared" si="611"/>
        <v>нет</v>
      </c>
      <c r="AD356" s="5" t="str">
        <f>""</f>
        <v/>
      </c>
      <c r="AE356" s="5" t="str">
        <f>""</f>
        <v/>
      </c>
      <c r="AF356" s="5" t="str">
        <f>""</f>
        <v/>
      </c>
      <c r="AG356" s="5" t="str">
        <f t="shared" si="612"/>
        <v>нет</v>
      </c>
      <c r="AH356" s="5" t="str">
        <f>""</f>
        <v/>
      </c>
      <c r="AI356" s="5" t="str">
        <f>""</f>
        <v/>
      </c>
      <c r="AJ356" s="5" t="str">
        <f>""</f>
        <v/>
      </c>
      <c r="AK356" s="8" t="str">
        <f>""</f>
        <v/>
      </c>
      <c r="AL356" s="5" t="str">
        <f>"30,00"</f>
        <v>30,00</v>
      </c>
      <c r="AM356" s="5" t="str">
        <f>"2032"</f>
        <v>2032</v>
      </c>
      <c r="AN356" s="5" t="str">
        <f t="shared" si="613"/>
        <v>нет</v>
      </c>
      <c r="AO356" s="5" t="str">
        <f>""</f>
        <v/>
      </c>
      <c r="AP356" s="5" t="str">
        <f>""</f>
        <v/>
      </c>
      <c r="AQ356" s="5" t="str">
        <f>""</f>
        <v/>
      </c>
      <c r="AR356" s="5" t="str">
        <f t="shared" si="614"/>
        <v>нет</v>
      </c>
      <c r="AS356" s="5" t="str">
        <f>""</f>
        <v/>
      </c>
      <c r="AT356" s="5" t="str">
        <f>""</f>
        <v/>
      </c>
      <c r="AU356" s="5" t="str">
        <f>""</f>
        <v/>
      </c>
      <c r="AV356" s="5" t="str">
        <f t="shared" si="615"/>
        <v>х</v>
      </c>
      <c r="AW356" s="5" t="str">
        <f t="shared" si="615"/>
        <v>х</v>
      </c>
      <c r="AX356" s="5" t="str">
        <f t="shared" si="615"/>
        <v>х</v>
      </c>
      <c r="AY356" s="5" t="str">
        <f t="shared" si="615"/>
        <v>х</v>
      </c>
      <c r="AZ356" s="5" t="str">
        <f t="shared" si="615"/>
        <v>х</v>
      </c>
      <c r="BA356" s="5" t="str">
        <f t="shared" si="615"/>
        <v>х</v>
      </c>
      <c r="BB356" s="5" t="str">
        <f t="shared" si="615"/>
        <v>х</v>
      </c>
      <c r="BC356" s="5" t="str">
        <f t="shared" si="615"/>
        <v>х</v>
      </c>
      <c r="BD356" s="5" t="str">
        <f t="shared" si="615"/>
        <v>х</v>
      </c>
      <c r="BE356" s="5" t="str">
        <f t="shared" si="615"/>
        <v>х</v>
      </c>
      <c r="BF356" s="5" t="str">
        <f t="shared" si="615"/>
        <v>х</v>
      </c>
      <c r="BG356" s="5" t="str">
        <f>""</f>
        <v/>
      </c>
      <c r="BH356" s="5" t="str">
        <f>"30,00"</f>
        <v>30,00</v>
      </c>
      <c r="BI356" s="5" t="str">
        <f>"2031"</f>
        <v>2031</v>
      </c>
      <c r="BJ356" s="5" t="str">
        <f t="shared" si="616"/>
        <v>нет</v>
      </c>
      <c r="BK356" s="5" t="str">
        <f>""</f>
        <v/>
      </c>
      <c r="BL356" s="5" t="str">
        <f>""</f>
        <v/>
      </c>
      <c r="BM356" s="5" t="str">
        <f>""</f>
        <v/>
      </c>
      <c r="BN356" s="5" t="str">
        <f t="shared" si="617"/>
        <v>нет</v>
      </c>
      <c r="BO356" s="5" t="str">
        <f>""</f>
        <v/>
      </c>
      <c r="BP356" s="5" t="str">
        <f>""</f>
        <v/>
      </c>
      <c r="BQ356" s="5" t="str">
        <f>""</f>
        <v/>
      </c>
      <c r="BR356" s="5" t="str">
        <f>""</f>
        <v/>
      </c>
      <c r="BS356" s="5" t="str">
        <f>"38,00"</f>
        <v>38,00</v>
      </c>
      <c r="BT356" s="5" t="str">
        <f>"2017"</f>
        <v>2017</v>
      </c>
      <c r="BU356" s="5" t="str">
        <f t="shared" si="518"/>
        <v>нет</v>
      </c>
      <c r="BV356" s="5" t="str">
        <f t="shared" si="596"/>
        <v>x</v>
      </c>
      <c r="BW356" s="5" t="str">
        <f t="shared" si="596"/>
        <v>x</v>
      </c>
      <c r="BX356" s="5" t="str">
        <f t="shared" si="596"/>
        <v>x</v>
      </c>
      <c r="BY356" s="5" t="str">
        <f t="shared" si="605"/>
        <v>нет</v>
      </c>
      <c r="BZ356" s="5" t="str">
        <f t="shared" si="606"/>
        <v>x</v>
      </c>
      <c r="CA356" s="5" t="str">
        <f t="shared" si="606"/>
        <v>x</v>
      </c>
      <c r="CB356" s="5" t="str">
        <f t="shared" si="606"/>
        <v>x</v>
      </c>
      <c r="CC356" s="5" t="str">
        <f>""</f>
        <v/>
      </c>
      <c r="CD356" s="5" t="str">
        <f>"25,00"</f>
        <v>25,00</v>
      </c>
      <c r="CE356" s="5" t="str">
        <f>"2030"</f>
        <v>2030</v>
      </c>
      <c r="CF356" s="5" t="str">
        <f>""</f>
        <v/>
      </c>
      <c r="CG356" s="5" t="str">
        <f>"20,00"</f>
        <v>20,00</v>
      </c>
      <c r="CH356" s="5" t="str">
        <f>"2031"</f>
        <v>2031</v>
      </c>
      <c r="CI356" s="5" t="str">
        <f>"28,00"</f>
        <v>28,00</v>
      </c>
      <c r="CJ356" s="5" t="str">
        <f>"2042"</f>
        <v>2042</v>
      </c>
    </row>
    <row r="357" spans="1:88" ht="11.25" customHeight="1">
      <c r="A357" s="3" t="str">
        <f>"1.344"</f>
        <v>1.344</v>
      </c>
      <c r="B357" s="4" t="str">
        <f>"д. Скородумка (Юровское МО), ул. Школьная, д.55"</f>
        <v>д. Скородумка (Юровское МО), ул. Школьная, д.55</v>
      </c>
      <c r="C357" s="7" t="str">
        <f>"1981"</f>
        <v>1981</v>
      </c>
      <c r="D357" s="5" t="str">
        <f>""</f>
        <v/>
      </c>
      <c r="E357" s="5" t="str">
        <f>"30,00"</f>
        <v>30,00</v>
      </c>
      <c r="F357" s="5" t="str">
        <f>"2022"</f>
        <v>2022</v>
      </c>
      <c r="G357" s="5" t="str">
        <f>"нет"</f>
        <v>нет</v>
      </c>
      <c r="H357" s="5" t="str">
        <f>""</f>
        <v/>
      </c>
      <c r="I357" s="5" t="str">
        <f>""</f>
        <v/>
      </c>
      <c r="J357" s="5" t="str">
        <f>""</f>
        <v/>
      </c>
      <c r="K357" s="5" t="str">
        <f>"нет"</f>
        <v>нет</v>
      </c>
      <c r="L357" s="5" t="str">
        <f>""</f>
        <v/>
      </c>
      <c r="M357" s="5" t="str">
        <f>""</f>
        <v/>
      </c>
      <c r="N357" s="5" t="str">
        <f>""</f>
        <v/>
      </c>
      <c r="O357" s="8" t="str">
        <f>""</f>
        <v/>
      </c>
      <c r="P357" s="5" t="str">
        <f>"20,00"</f>
        <v>20,00</v>
      </c>
      <c r="Q357" s="5" t="str">
        <f>"2023"</f>
        <v>2023</v>
      </c>
      <c r="R357" s="5" t="str">
        <f t="shared" si="609"/>
        <v>нет</v>
      </c>
      <c r="S357" s="5" t="str">
        <f>""</f>
        <v/>
      </c>
      <c r="T357" s="5" t="str">
        <f>""</f>
        <v/>
      </c>
      <c r="U357" s="5" t="str">
        <f>""</f>
        <v/>
      </c>
      <c r="V357" s="5" t="str">
        <f t="shared" si="610"/>
        <v>нет</v>
      </c>
      <c r="W357" s="5" t="str">
        <f>""</f>
        <v/>
      </c>
      <c r="X357" s="5" t="str">
        <f>""</f>
        <v/>
      </c>
      <c r="Y357" s="9" t="str">
        <f>""</f>
        <v/>
      </c>
      <c r="Z357" s="5" t="str">
        <f>""</f>
        <v/>
      </c>
      <c r="AA357" s="5" t="str">
        <f>"20,00"</f>
        <v>20,00</v>
      </c>
      <c r="AB357" s="5" t="str">
        <f>"2026"</f>
        <v>2026</v>
      </c>
      <c r="AC357" s="5" t="str">
        <f t="shared" si="611"/>
        <v>нет</v>
      </c>
      <c r="AD357" s="5" t="str">
        <f>""</f>
        <v/>
      </c>
      <c r="AE357" s="5" t="str">
        <f>""</f>
        <v/>
      </c>
      <c r="AF357" s="5" t="str">
        <f>""</f>
        <v/>
      </c>
      <c r="AG357" s="5" t="str">
        <f t="shared" si="612"/>
        <v>нет</v>
      </c>
      <c r="AH357" s="5" t="str">
        <f>""</f>
        <v/>
      </c>
      <c r="AI357" s="5" t="str">
        <f>""</f>
        <v/>
      </c>
      <c r="AJ357" s="5" t="str">
        <f>""</f>
        <v/>
      </c>
      <c r="AK357" s="8" t="str">
        <f>""</f>
        <v/>
      </c>
      <c r="AL357" s="5" t="str">
        <f>"20,00"</f>
        <v>20,00</v>
      </c>
      <c r="AM357" s="5" t="str">
        <f>"2021"</f>
        <v>2021</v>
      </c>
      <c r="AN357" s="5" t="str">
        <f t="shared" si="613"/>
        <v>нет</v>
      </c>
      <c r="AO357" s="5" t="str">
        <f>""</f>
        <v/>
      </c>
      <c r="AP357" s="5" t="str">
        <f>""</f>
        <v/>
      </c>
      <c r="AQ357" s="5" t="str">
        <f>""</f>
        <v/>
      </c>
      <c r="AR357" s="5" t="str">
        <f t="shared" si="614"/>
        <v>нет</v>
      </c>
      <c r="AS357" s="5" t="str">
        <f>""</f>
        <v/>
      </c>
      <c r="AT357" s="5" t="str">
        <f>""</f>
        <v/>
      </c>
      <c r="AU357" s="5" t="str">
        <f>""</f>
        <v/>
      </c>
      <c r="AV357" s="5" t="str">
        <f t="shared" si="615"/>
        <v>х</v>
      </c>
      <c r="AW357" s="5" t="str">
        <f t="shared" si="615"/>
        <v>х</v>
      </c>
      <c r="AX357" s="5" t="str">
        <f t="shared" si="615"/>
        <v>х</v>
      </c>
      <c r="AY357" s="5" t="str">
        <f t="shared" si="615"/>
        <v>х</v>
      </c>
      <c r="AZ357" s="5" t="str">
        <f t="shared" si="615"/>
        <v>х</v>
      </c>
      <c r="BA357" s="5" t="str">
        <f t="shared" si="615"/>
        <v>х</v>
      </c>
      <c r="BB357" s="5" t="str">
        <f t="shared" si="615"/>
        <v>х</v>
      </c>
      <c r="BC357" s="5" t="str">
        <f t="shared" si="615"/>
        <v>х</v>
      </c>
      <c r="BD357" s="5" t="str">
        <f t="shared" si="615"/>
        <v>х</v>
      </c>
      <c r="BE357" s="5" t="str">
        <f t="shared" si="615"/>
        <v>х</v>
      </c>
      <c r="BF357" s="5" t="str">
        <f t="shared" si="615"/>
        <v>х</v>
      </c>
      <c r="BG357" s="5" t="str">
        <f>""</f>
        <v/>
      </c>
      <c r="BH357" s="5" t="str">
        <f>"30,00"</f>
        <v>30,00</v>
      </c>
      <c r="BI357" s="5" t="str">
        <f>"2022"</f>
        <v>2022</v>
      </c>
      <c r="BJ357" s="5" t="str">
        <f t="shared" si="616"/>
        <v>нет</v>
      </c>
      <c r="BK357" s="5" t="str">
        <f>""</f>
        <v/>
      </c>
      <c r="BL357" s="5" t="str">
        <f>""</f>
        <v/>
      </c>
      <c r="BM357" s="5" t="str">
        <f>""</f>
        <v/>
      </c>
      <c r="BN357" s="5" t="str">
        <f t="shared" si="617"/>
        <v>нет</v>
      </c>
      <c r="BO357" s="5" t="str">
        <f>""</f>
        <v/>
      </c>
      <c r="BP357" s="5" t="str">
        <f>""</f>
        <v/>
      </c>
      <c r="BQ357" s="5" t="str">
        <f>""</f>
        <v/>
      </c>
      <c r="BR357" s="5" t="str">
        <f>""</f>
        <v/>
      </c>
      <c r="BS357" s="5" t="str">
        <f>"30,00"</f>
        <v>30,00</v>
      </c>
      <c r="BT357" s="5" t="str">
        <f>"2020"</f>
        <v>2020</v>
      </c>
      <c r="BU357" s="5" t="str">
        <f t="shared" si="518"/>
        <v>нет</v>
      </c>
      <c r="BV357" s="5" t="str">
        <f t="shared" si="596"/>
        <v>x</v>
      </c>
      <c r="BW357" s="5" t="str">
        <f t="shared" si="596"/>
        <v>x</v>
      </c>
      <c r="BX357" s="5" t="str">
        <f t="shared" si="596"/>
        <v>x</v>
      </c>
      <c r="BY357" s="5" t="str">
        <f t="shared" si="605"/>
        <v>нет</v>
      </c>
      <c r="BZ357" s="5" t="str">
        <f t="shared" si="606"/>
        <v>x</v>
      </c>
      <c r="CA357" s="5" t="str">
        <f t="shared" si="606"/>
        <v>x</v>
      </c>
      <c r="CB357" s="5" t="str">
        <f t="shared" si="606"/>
        <v>x</v>
      </c>
      <c r="CC357" s="5" t="str">
        <f>""</f>
        <v/>
      </c>
      <c r="CD357" s="5" t="str">
        <f>"20,00"</f>
        <v>20,00</v>
      </c>
      <c r="CE357" s="5" t="str">
        <f>"2027"</f>
        <v>2027</v>
      </c>
      <c r="CF357" s="5" t="str">
        <f>""</f>
        <v/>
      </c>
      <c r="CG357" s="5" t="str">
        <f>"20,00"</f>
        <v>20,00</v>
      </c>
      <c r="CH357" s="5" t="str">
        <f>"2029"</f>
        <v>2029</v>
      </c>
      <c r="CI357" s="5" t="str">
        <f>"30,00"</f>
        <v>30,00</v>
      </c>
      <c r="CJ357" s="5" t="str">
        <f>"2042"</f>
        <v>2042</v>
      </c>
    </row>
    <row r="358" spans="1:88" ht="11.25" customHeight="1">
      <c r="A358" s="3" t="str">
        <f>"1.345"</f>
        <v>1.345</v>
      </c>
      <c r="B358" s="4" t="str">
        <f>"д. Слобода (Перцевское МО), ул. Московская, д.9"</f>
        <v>д. Слобода (Перцевское МО), ул. Московская, д.9</v>
      </c>
      <c r="C358" s="7" t="str">
        <f>"1940"</f>
        <v>1940</v>
      </c>
      <c r="D358" s="5" t="str">
        <f>""</f>
        <v/>
      </c>
      <c r="E358" s="5" t="str">
        <f>"75,00"</f>
        <v>75,00</v>
      </c>
      <c r="F358" s="5" t="str">
        <f>"2019"</f>
        <v>2019</v>
      </c>
      <c r="G358" s="5" t="str">
        <f>"нет"</f>
        <v>нет</v>
      </c>
      <c r="H358" s="5" t="str">
        <f>""</f>
        <v/>
      </c>
      <c r="I358" s="5" t="str">
        <f>""</f>
        <v/>
      </c>
      <c r="J358" s="5" t="str">
        <f>""</f>
        <v/>
      </c>
      <c r="K358" s="5" t="str">
        <f>"нет"</f>
        <v>нет</v>
      </c>
      <c r="L358" s="5" t="str">
        <f>""</f>
        <v/>
      </c>
      <c r="M358" s="5" t="str">
        <f>""</f>
        <v/>
      </c>
      <c r="N358" s="5" t="str">
        <f>""</f>
        <v/>
      </c>
      <c r="O358" s="8" t="str">
        <f t="shared" ref="O358:Y358" si="618">"х"</f>
        <v>х</v>
      </c>
      <c r="P358" s="5" t="str">
        <f t="shared" si="618"/>
        <v>х</v>
      </c>
      <c r="Q358" s="5" t="str">
        <f t="shared" si="618"/>
        <v>х</v>
      </c>
      <c r="R358" s="5" t="str">
        <f t="shared" si="618"/>
        <v>х</v>
      </c>
      <c r="S358" s="5" t="str">
        <f t="shared" si="618"/>
        <v>х</v>
      </c>
      <c r="T358" s="5" t="str">
        <f t="shared" si="618"/>
        <v>х</v>
      </c>
      <c r="U358" s="5" t="str">
        <f t="shared" si="618"/>
        <v>х</v>
      </c>
      <c r="V358" s="5" t="str">
        <f t="shared" si="618"/>
        <v>х</v>
      </c>
      <c r="W358" s="5" t="str">
        <f t="shared" si="618"/>
        <v>х</v>
      </c>
      <c r="X358" s="5" t="str">
        <f t="shared" si="618"/>
        <v>х</v>
      </c>
      <c r="Y358" s="9" t="str">
        <f t="shared" si="618"/>
        <v>х</v>
      </c>
      <c r="Z358" s="5" t="str">
        <f>""</f>
        <v/>
      </c>
      <c r="AA358" s="5" t="str">
        <f>"75,00"</f>
        <v>75,00</v>
      </c>
      <c r="AB358" s="5" t="str">
        <f>"2019"</f>
        <v>2019</v>
      </c>
      <c r="AC358" s="5" t="str">
        <f t="shared" si="611"/>
        <v>нет</v>
      </c>
      <c r="AD358" s="5" t="str">
        <f>""</f>
        <v/>
      </c>
      <c r="AE358" s="5" t="str">
        <f>""</f>
        <v/>
      </c>
      <c r="AF358" s="5" t="str">
        <f>""</f>
        <v/>
      </c>
      <c r="AG358" s="5" t="str">
        <f t="shared" si="612"/>
        <v>нет</v>
      </c>
      <c r="AH358" s="5" t="str">
        <f>""</f>
        <v/>
      </c>
      <c r="AI358" s="5" t="str">
        <f>""</f>
        <v/>
      </c>
      <c r="AJ358" s="5" t="str">
        <f>""</f>
        <v/>
      </c>
      <c r="AK358" s="8" t="str">
        <f t="shared" ref="AK358:AU358" si="619">"х"</f>
        <v>х</v>
      </c>
      <c r="AL358" s="5" t="str">
        <f t="shared" si="619"/>
        <v>х</v>
      </c>
      <c r="AM358" s="5" t="str">
        <f t="shared" si="619"/>
        <v>х</v>
      </c>
      <c r="AN358" s="5" t="str">
        <f t="shared" si="619"/>
        <v>х</v>
      </c>
      <c r="AO358" s="5" t="str">
        <f t="shared" si="619"/>
        <v>х</v>
      </c>
      <c r="AP358" s="5" t="str">
        <f t="shared" si="619"/>
        <v>х</v>
      </c>
      <c r="AQ358" s="5" t="str">
        <f t="shared" si="619"/>
        <v>х</v>
      </c>
      <c r="AR358" s="5" t="str">
        <f t="shared" si="619"/>
        <v>х</v>
      </c>
      <c r="AS358" s="5" t="str">
        <f t="shared" si="619"/>
        <v>х</v>
      </c>
      <c r="AT358" s="5" t="str">
        <f t="shared" si="619"/>
        <v>х</v>
      </c>
      <c r="AU358" s="5" t="str">
        <f t="shared" si="619"/>
        <v>х</v>
      </c>
      <c r="AV358" s="5" t="str">
        <f t="shared" si="615"/>
        <v>х</v>
      </c>
      <c r="AW358" s="5" t="str">
        <f t="shared" si="615"/>
        <v>х</v>
      </c>
      <c r="AX358" s="5" t="str">
        <f t="shared" si="615"/>
        <v>х</v>
      </c>
      <c r="AY358" s="5" t="str">
        <f t="shared" si="615"/>
        <v>х</v>
      </c>
      <c r="AZ358" s="5" t="str">
        <f t="shared" si="615"/>
        <v>х</v>
      </c>
      <c r="BA358" s="5" t="str">
        <f t="shared" si="615"/>
        <v>х</v>
      </c>
      <c r="BB358" s="5" t="str">
        <f t="shared" si="615"/>
        <v>х</v>
      </c>
      <c r="BC358" s="5" t="str">
        <f t="shared" si="615"/>
        <v>х</v>
      </c>
      <c r="BD358" s="5" t="str">
        <f t="shared" si="615"/>
        <v>х</v>
      </c>
      <c r="BE358" s="5" t="str">
        <f t="shared" si="615"/>
        <v>х</v>
      </c>
      <c r="BF358" s="5" t="str">
        <f t="shared" si="615"/>
        <v>х</v>
      </c>
      <c r="BG358" s="5" t="str">
        <f t="shared" ref="BG358:BQ358" si="620">"х"</f>
        <v>х</v>
      </c>
      <c r="BH358" s="5" t="str">
        <f t="shared" si="620"/>
        <v>х</v>
      </c>
      <c r="BI358" s="5" t="str">
        <f t="shared" si="620"/>
        <v>х</v>
      </c>
      <c r="BJ358" s="5" t="str">
        <f t="shared" si="620"/>
        <v>х</v>
      </c>
      <c r="BK358" s="5" t="str">
        <f t="shared" si="620"/>
        <v>х</v>
      </c>
      <c r="BL358" s="5" t="str">
        <f t="shared" si="620"/>
        <v>х</v>
      </c>
      <c r="BM358" s="5" t="str">
        <f t="shared" si="620"/>
        <v>х</v>
      </c>
      <c r="BN358" s="5" t="str">
        <f t="shared" si="620"/>
        <v>х</v>
      </c>
      <c r="BO358" s="5" t="str">
        <f t="shared" si="620"/>
        <v>х</v>
      </c>
      <c r="BP358" s="5" t="str">
        <f t="shared" si="620"/>
        <v>х</v>
      </c>
      <c r="BQ358" s="5" t="str">
        <f t="shared" si="620"/>
        <v>х</v>
      </c>
      <c r="BR358" s="5" t="str">
        <f>""</f>
        <v/>
      </c>
      <c r="BS358" s="5" t="str">
        <f>"75,00"</f>
        <v>75,00</v>
      </c>
      <c r="BT358" s="5" t="str">
        <f>"2015"</f>
        <v>2015</v>
      </c>
      <c r="BU358" s="5" t="str">
        <f t="shared" si="518"/>
        <v>нет</v>
      </c>
      <c r="BV358" s="5" t="str">
        <f t="shared" si="596"/>
        <v>x</v>
      </c>
      <c r="BW358" s="5" t="str">
        <f t="shared" si="596"/>
        <v>x</v>
      </c>
      <c r="BX358" s="5" t="str">
        <f t="shared" si="596"/>
        <v>x</v>
      </c>
      <c r="BY358" s="5" t="str">
        <f t="shared" si="605"/>
        <v>нет</v>
      </c>
      <c r="BZ358" s="5" t="str">
        <f t="shared" si="606"/>
        <v>x</v>
      </c>
      <c r="CA358" s="5" t="str">
        <f t="shared" si="606"/>
        <v>x</v>
      </c>
      <c r="CB358" s="5" t="str">
        <f t="shared" si="606"/>
        <v>x</v>
      </c>
      <c r="CC358" s="5" t="str">
        <f>""</f>
        <v/>
      </c>
      <c r="CD358" s="5" t="str">
        <f>"75,00"</f>
        <v>75,00</v>
      </c>
      <c r="CE358" s="5" t="str">
        <f>"2019"</f>
        <v>2019</v>
      </c>
      <c r="CF358" s="5" t="str">
        <f>""</f>
        <v/>
      </c>
      <c r="CG358" s="5" t="str">
        <f>"75,00"</f>
        <v>75,00</v>
      </c>
      <c r="CH358" s="5" t="str">
        <f>"2019"</f>
        <v>2019</v>
      </c>
      <c r="CI358" s="5" t="str">
        <f>"100,00"</f>
        <v>100,00</v>
      </c>
      <c r="CJ358" s="5" t="str">
        <f>"2027"</f>
        <v>2027</v>
      </c>
    </row>
    <row r="359" spans="1:88" ht="11.25" customHeight="1">
      <c r="A359" s="3" t="str">
        <f>"1.346"</f>
        <v>1.346</v>
      </c>
      <c r="B359" s="4" t="str">
        <f>"д. Слобода (Перцевское МО), ул. Центральная, д.1"</f>
        <v>д. Слобода (Перцевское МО), ул. Центральная, д.1</v>
      </c>
      <c r="C359" s="7" t="str">
        <f>"1971"</f>
        <v>1971</v>
      </c>
      <c r="D359" s="5" t="str">
        <f>""</f>
        <v/>
      </c>
      <c r="E359" s="5" t="str">
        <f>"50,00"</f>
        <v>50,00</v>
      </c>
      <c r="F359" s="5" t="str">
        <f>"2016"</f>
        <v>2016</v>
      </c>
      <c r="G359" s="5" t="str">
        <f t="shared" ref="G359:G378" si="621">"да"</f>
        <v>да</v>
      </c>
      <c r="H359" s="5" t="str">
        <f>""</f>
        <v/>
      </c>
      <c r="I359" s="5" t="str">
        <f>"60,00"</f>
        <v>60,00</v>
      </c>
      <c r="J359" s="5" t="str">
        <f>"2016"</f>
        <v>2016</v>
      </c>
      <c r="K359" s="5" t="str">
        <f t="shared" ref="K359:K378" si="622">"да"</f>
        <v>да</v>
      </c>
      <c r="L359" s="5" t="str">
        <f>""</f>
        <v/>
      </c>
      <c r="M359" s="5" t="str">
        <f>"50,00"</f>
        <v>50,00</v>
      </c>
      <c r="N359" s="5" t="str">
        <f>"2016"</f>
        <v>2016</v>
      </c>
      <c r="O359" s="8" t="str">
        <f>""</f>
        <v/>
      </c>
      <c r="P359" s="5" t="str">
        <f>"60,00"</f>
        <v>60,00</v>
      </c>
      <c r="Q359" s="5" t="str">
        <f>"2018"</f>
        <v>2018</v>
      </c>
      <c r="R359" s="5" t="str">
        <f t="shared" ref="R359:R399" si="623">"нет"</f>
        <v>нет</v>
      </c>
      <c r="S359" s="5" t="str">
        <f>""</f>
        <v/>
      </c>
      <c r="T359" s="5" t="str">
        <f>""</f>
        <v/>
      </c>
      <c r="U359" s="5" t="str">
        <f>""</f>
        <v/>
      </c>
      <c r="V359" s="5" t="str">
        <f t="shared" ref="V359:V399" si="624">"нет"</f>
        <v>нет</v>
      </c>
      <c r="W359" s="5" t="str">
        <f>""</f>
        <v/>
      </c>
      <c r="X359" s="5" t="str">
        <f>""</f>
        <v/>
      </c>
      <c r="Y359" s="9" t="str">
        <f>""</f>
        <v/>
      </c>
      <c r="Z359" s="5" t="str">
        <f>""</f>
        <v/>
      </c>
      <c r="AA359" s="5" t="str">
        <f>"50,00"</f>
        <v>50,00</v>
      </c>
      <c r="AB359" s="5" t="str">
        <f>"2016"</f>
        <v>2016</v>
      </c>
      <c r="AC359" s="5" t="str">
        <f t="shared" si="611"/>
        <v>нет</v>
      </c>
      <c r="AD359" s="5" t="str">
        <f>""</f>
        <v/>
      </c>
      <c r="AE359" s="5" t="str">
        <f>""</f>
        <v/>
      </c>
      <c r="AF359" s="5" t="str">
        <f>""</f>
        <v/>
      </c>
      <c r="AG359" s="5" t="str">
        <f t="shared" si="612"/>
        <v>нет</v>
      </c>
      <c r="AH359" s="5" t="str">
        <f>""</f>
        <v/>
      </c>
      <c r="AI359" s="5" t="str">
        <f>""</f>
        <v/>
      </c>
      <c r="AJ359" s="5" t="str">
        <f>""</f>
        <v/>
      </c>
      <c r="AK359" s="8" t="str">
        <f>""</f>
        <v/>
      </c>
      <c r="AL359" s="5" t="str">
        <f>"45,00"</f>
        <v>45,00</v>
      </c>
      <c r="AM359" s="5" t="str">
        <f>"2019"</f>
        <v>2019</v>
      </c>
      <c r="AN359" s="5" t="str">
        <f t="shared" ref="AN359:AN399" si="625">"нет"</f>
        <v>нет</v>
      </c>
      <c r="AO359" s="5" t="str">
        <f>""</f>
        <v/>
      </c>
      <c r="AP359" s="5" t="str">
        <f>""</f>
        <v/>
      </c>
      <c r="AQ359" s="5" t="str">
        <f>""</f>
        <v/>
      </c>
      <c r="AR359" s="5" t="str">
        <f t="shared" ref="AR359:AR399" si="626">"нет"</f>
        <v>нет</v>
      </c>
      <c r="AS359" s="5" t="str">
        <f>""</f>
        <v/>
      </c>
      <c r="AT359" s="5" t="str">
        <f>""</f>
        <v/>
      </c>
      <c r="AU359" s="5" t="str">
        <f>""</f>
        <v/>
      </c>
      <c r="AV359" s="5" t="str">
        <f>""</f>
        <v/>
      </c>
      <c r="AW359" s="5" t="str">
        <f>"50,00"</f>
        <v>50,00</v>
      </c>
      <c r="AX359" s="5" t="str">
        <f>"2016"</f>
        <v>2016</v>
      </c>
      <c r="AY359" s="5" t="str">
        <f>"нет"</f>
        <v>нет</v>
      </c>
      <c r="AZ359" s="5" t="str">
        <f>""</f>
        <v/>
      </c>
      <c r="BA359" s="5" t="str">
        <f>""</f>
        <v/>
      </c>
      <c r="BB359" s="5" t="str">
        <f>""</f>
        <v/>
      </c>
      <c r="BC359" s="5" t="str">
        <f>"нет"</f>
        <v>нет</v>
      </c>
      <c r="BD359" s="5" t="str">
        <f>""</f>
        <v/>
      </c>
      <c r="BE359" s="5" t="str">
        <f>""</f>
        <v/>
      </c>
      <c r="BF359" s="5" t="str">
        <f>""</f>
        <v/>
      </c>
      <c r="BG359" s="5" t="str">
        <f>""</f>
        <v/>
      </c>
      <c r="BH359" s="5" t="str">
        <f>"60,00"</f>
        <v>60,00</v>
      </c>
      <c r="BI359" s="5" t="str">
        <f>"2017"</f>
        <v>2017</v>
      </c>
      <c r="BJ359" s="5" t="str">
        <f t="shared" ref="BJ359:BJ384" si="627">"нет"</f>
        <v>нет</v>
      </c>
      <c r="BK359" s="5" t="str">
        <f>""</f>
        <v/>
      </c>
      <c r="BL359" s="5" t="str">
        <f>""</f>
        <v/>
      </c>
      <c r="BM359" s="5" t="str">
        <f>""</f>
        <v/>
      </c>
      <c r="BN359" s="5" t="str">
        <f t="shared" ref="BN359:BN384" si="628">"нет"</f>
        <v>нет</v>
      </c>
      <c r="BO359" s="5" t="str">
        <f>""</f>
        <v/>
      </c>
      <c r="BP359" s="5" t="str">
        <f>""</f>
        <v/>
      </c>
      <c r="BQ359" s="5" t="str">
        <f>""</f>
        <v/>
      </c>
      <c r="BR359" s="5" t="str">
        <f>""</f>
        <v/>
      </c>
      <c r="BS359" s="5" t="str">
        <f>"75,00"</f>
        <v>75,00</v>
      </c>
      <c r="BT359" s="5" t="str">
        <f>"2016"</f>
        <v>2016</v>
      </c>
      <c r="BU359" s="5" t="str">
        <f t="shared" si="518"/>
        <v>нет</v>
      </c>
      <c r="BV359" s="5" t="str">
        <f t="shared" si="596"/>
        <v>x</v>
      </c>
      <c r="BW359" s="5" t="str">
        <f t="shared" si="596"/>
        <v>x</v>
      </c>
      <c r="BX359" s="5" t="str">
        <f t="shared" si="596"/>
        <v>x</v>
      </c>
      <c r="BY359" s="5" t="str">
        <f t="shared" si="605"/>
        <v>нет</v>
      </c>
      <c r="BZ359" s="5" t="str">
        <f t="shared" si="606"/>
        <v>x</v>
      </c>
      <c r="CA359" s="5" t="str">
        <f t="shared" si="606"/>
        <v>x</v>
      </c>
      <c r="CB359" s="5" t="str">
        <f t="shared" si="606"/>
        <v>x</v>
      </c>
      <c r="CC359" s="5" t="str">
        <f>""</f>
        <v/>
      </c>
      <c r="CD359" s="5" t="str">
        <f>"70,00"</f>
        <v>70,00</v>
      </c>
      <c r="CE359" s="5" t="str">
        <f>"2017"</f>
        <v>2017</v>
      </c>
      <c r="CF359" s="5" t="str">
        <f>""</f>
        <v/>
      </c>
      <c r="CG359" s="5" t="str">
        <f>"70,00"</f>
        <v>70,00</v>
      </c>
      <c r="CH359" s="5" t="str">
        <f>"2018"</f>
        <v>2018</v>
      </c>
      <c r="CI359" s="5" t="str">
        <f>"60,00"</f>
        <v>60,00</v>
      </c>
      <c r="CJ359" s="5" t="str">
        <f>"2040"</f>
        <v>2040</v>
      </c>
    </row>
    <row r="360" spans="1:88" ht="11.25" customHeight="1">
      <c r="A360" s="3" t="str">
        <f>"1.347"</f>
        <v>1.347</v>
      </c>
      <c r="B360" s="4" t="str">
        <f>"д. Слобода (Перцевское МО), ул. Центральная, д.13"</f>
        <v>д. Слобода (Перцевское МО), ул. Центральная, д.13</v>
      </c>
      <c r="C360" s="7" t="str">
        <f>"1982"</f>
        <v>1982</v>
      </c>
      <c r="D360" s="5" t="str">
        <f>""</f>
        <v/>
      </c>
      <c r="E360" s="5" t="str">
        <f>"50,00"</f>
        <v>50,00</v>
      </c>
      <c r="F360" s="5" t="str">
        <f>"2018"</f>
        <v>2018</v>
      </c>
      <c r="G360" s="5" t="str">
        <f t="shared" si="621"/>
        <v>да</v>
      </c>
      <c r="H360" s="5" t="str">
        <f>""</f>
        <v/>
      </c>
      <c r="I360" s="5" t="str">
        <f>"50,00"</f>
        <v>50,00</v>
      </c>
      <c r="J360" s="5" t="str">
        <f>"2018"</f>
        <v>2018</v>
      </c>
      <c r="K360" s="5" t="str">
        <f t="shared" si="622"/>
        <v>да</v>
      </c>
      <c r="L360" s="5" t="str">
        <f>""</f>
        <v/>
      </c>
      <c r="M360" s="5" t="str">
        <f>"50,00"</f>
        <v>50,00</v>
      </c>
      <c r="N360" s="5" t="str">
        <f>"2018"</f>
        <v>2018</v>
      </c>
      <c r="O360" s="8" t="str">
        <f>""</f>
        <v/>
      </c>
      <c r="P360" s="5" t="str">
        <f>"55,00"</f>
        <v>55,00</v>
      </c>
      <c r="Q360" s="5" t="str">
        <f>"2018"</f>
        <v>2018</v>
      </c>
      <c r="R360" s="5" t="str">
        <f t="shared" si="623"/>
        <v>нет</v>
      </c>
      <c r="S360" s="5" t="str">
        <f>""</f>
        <v/>
      </c>
      <c r="T360" s="5" t="str">
        <f>""</f>
        <v/>
      </c>
      <c r="U360" s="5" t="str">
        <f>""</f>
        <v/>
      </c>
      <c r="V360" s="5" t="str">
        <f t="shared" si="624"/>
        <v>нет</v>
      </c>
      <c r="W360" s="5" t="str">
        <f>""</f>
        <v/>
      </c>
      <c r="X360" s="5" t="str">
        <f>""</f>
        <v/>
      </c>
      <c r="Y360" s="9" t="str">
        <f>""</f>
        <v/>
      </c>
      <c r="Z360" s="5" t="str">
        <f>""</f>
        <v/>
      </c>
      <c r="AA360" s="5" t="str">
        <f>"30,00"</f>
        <v>30,00</v>
      </c>
      <c r="AB360" s="5" t="str">
        <f>"2031"</f>
        <v>2031</v>
      </c>
      <c r="AC360" s="5" t="str">
        <f t="shared" si="611"/>
        <v>нет</v>
      </c>
      <c r="AD360" s="5" t="str">
        <f>""</f>
        <v/>
      </c>
      <c r="AE360" s="5" t="str">
        <f>""</f>
        <v/>
      </c>
      <c r="AF360" s="5" t="str">
        <f>""</f>
        <v/>
      </c>
      <c r="AG360" s="5" t="str">
        <f t="shared" si="612"/>
        <v>нет</v>
      </c>
      <c r="AH360" s="5" t="str">
        <f>""</f>
        <v/>
      </c>
      <c r="AI360" s="5" t="str">
        <f>""</f>
        <v/>
      </c>
      <c r="AJ360" s="5" t="str">
        <f>""</f>
        <v/>
      </c>
      <c r="AK360" s="8" t="str">
        <f>""</f>
        <v/>
      </c>
      <c r="AL360" s="5" t="str">
        <f>"45,00"</f>
        <v>45,00</v>
      </c>
      <c r="AM360" s="5" t="str">
        <f>"2022"</f>
        <v>2022</v>
      </c>
      <c r="AN360" s="5" t="str">
        <f t="shared" si="625"/>
        <v>нет</v>
      </c>
      <c r="AO360" s="5" t="str">
        <f>""</f>
        <v/>
      </c>
      <c r="AP360" s="5" t="str">
        <f>""</f>
        <v/>
      </c>
      <c r="AQ360" s="5" t="str">
        <f>""</f>
        <v/>
      </c>
      <c r="AR360" s="5" t="str">
        <f t="shared" si="626"/>
        <v>нет</v>
      </c>
      <c r="AS360" s="5" t="str">
        <f>""</f>
        <v/>
      </c>
      <c r="AT360" s="5" t="str">
        <f>""</f>
        <v/>
      </c>
      <c r="AU360" s="5" t="str">
        <f>""</f>
        <v/>
      </c>
      <c r="AV360" s="5" t="str">
        <f t="shared" ref="AV360:BF360" si="629">"х"</f>
        <v>х</v>
      </c>
      <c r="AW360" s="5" t="str">
        <f t="shared" si="629"/>
        <v>х</v>
      </c>
      <c r="AX360" s="5" t="str">
        <f t="shared" si="629"/>
        <v>х</v>
      </c>
      <c r="AY360" s="5" t="str">
        <f t="shared" si="629"/>
        <v>х</v>
      </c>
      <c r="AZ360" s="5" t="str">
        <f t="shared" si="629"/>
        <v>х</v>
      </c>
      <c r="BA360" s="5" t="str">
        <f t="shared" si="629"/>
        <v>х</v>
      </c>
      <c r="BB360" s="5" t="str">
        <f t="shared" si="629"/>
        <v>х</v>
      </c>
      <c r="BC360" s="5" t="str">
        <f t="shared" si="629"/>
        <v>х</v>
      </c>
      <c r="BD360" s="5" t="str">
        <f t="shared" si="629"/>
        <v>х</v>
      </c>
      <c r="BE360" s="5" t="str">
        <f t="shared" si="629"/>
        <v>х</v>
      </c>
      <c r="BF360" s="5" t="str">
        <f t="shared" si="629"/>
        <v>х</v>
      </c>
      <c r="BG360" s="5" t="str">
        <f>""</f>
        <v/>
      </c>
      <c r="BH360" s="5" t="str">
        <f>"55,00"</f>
        <v>55,00</v>
      </c>
      <c r="BI360" s="5" t="str">
        <f>"2019"</f>
        <v>2019</v>
      </c>
      <c r="BJ360" s="5" t="str">
        <f t="shared" si="627"/>
        <v>нет</v>
      </c>
      <c r="BK360" s="5" t="str">
        <f>""</f>
        <v/>
      </c>
      <c r="BL360" s="5" t="str">
        <f>""</f>
        <v/>
      </c>
      <c r="BM360" s="5" t="str">
        <f>""</f>
        <v/>
      </c>
      <c r="BN360" s="5" t="str">
        <f t="shared" si="628"/>
        <v>нет</v>
      </c>
      <c r="BO360" s="5" t="str">
        <f>""</f>
        <v/>
      </c>
      <c r="BP360" s="5" t="str">
        <f>""</f>
        <v/>
      </c>
      <c r="BQ360" s="5" t="str">
        <f>""</f>
        <v/>
      </c>
      <c r="BR360" s="5" t="str">
        <f>""</f>
        <v/>
      </c>
      <c r="BS360" s="5" t="str">
        <f>"35,00"</f>
        <v>35,00</v>
      </c>
      <c r="BT360" s="5" t="str">
        <f>"2018"</f>
        <v>2018</v>
      </c>
      <c r="BU360" s="5" t="str">
        <f t="shared" si="518"/>
        <v>нет</v>
      </c>
      <c r="BV360" s="5" t="str">
        <f t="shared" ref="BV360:BX379" si="630">"x"</f>
        <v>x</v>
      </c>
      <c r="BW360" s="5" t="str">
        <f t="shared" si="630"/>
        <v>x</v>
      </c>
      <c r="BX360" s="5" t="str">
        <f t="shared" si="630"/>
        <v>x</v>
      </c>
      <c r="BY360" s="5" t="str">
        <f t="shared" si="605"/>
        <v>нет</v>
      </c>
      <c r="BZ360" s="5" t="str">
        <f t="shared" si="606"/>
        <v>x</v>
      </c>
      <c r="CA360" s="5" t="str">
        <f t="shared" si="606"/>
        <v>x</v>
      </c>
      <c r="CB360" s="5" t="str">
        <f t="shared" si="606"/>
        <v>x</v>
      </c>
      <c r="CC360" s="5" t="str">
        <f>""</f>
        <v/>
      </c>
      <c r="CD360" s="5" t="str">
        <f>"50,00"</f>
        <v>50,00</v>
      </c>
      <c r="CE360" s="5" t="str">
        <f>"2021"</f>
        <v>2021</v>
      </c>
      <c r="CF360" s="5" t="str">
        <f>""</f>
        <v/>
      </c>
      <c r="CG360" s="5" t="str">
        <f>"50,00"</f>
        <v>50,00</v>
      </c>
      <c r="CH360" s="5" t="str">
        <f>"2020"</f>
        <v>2020</v>
      </c>
      <c r="CI360" s="5" t="str">
        <f>"15,00"</f>
        <v>15,00</v>
      </c>
      <c r="CJ360" s="5" t="str">
        <f>"2040"</f>
        <v>2040</v>
      </c>
    </row>
    <row r="361" spans="1:88" ht="11.25" customHeight="1">
      <c r="A361" s="3" t="str">
        <f>"1.348"</f>
        <v>1.348</v>
      </c>
      <c r="B361" s="4" t="str">
        <f>"д. Слобода (Перцевское МО), ул. Центральная, д.2"</f>
        <v>д. Слобода (Перцевское МО), ул. Центральная, д.2</v>
      </c>
      <c r="C361" s="7" t="str">
        <f>"1971"</f>
        <v>1971</v>
      </c>
      <c r="D361" s="5" t="str">
        <f>""</f>
        <v/>
      </c>
      <c r="E361" s="5" t="str">
        <f>"50,00"</f>
        <v>50,00</v>
      </c>
      <c r="F361" s="5" t="str">
        <f>"2020"</f>
        <v>2020</v>
      </c>
      <c r="G361" s="5" t="str">
        <f t="shared" si="621"/>
        <v>да</v>
      </c>
      <c r="H361" s="5" t="str">
        <f>""</f>
        <v/>
      </c>
      <c r="I361" s="5" t="str">
        <f>"60,00"</f>
        <v>60,00</v>
      </c>
      <c r="J361" s="5" t="str">
        <f>"2020"</f>
        <v>2020</v>
      </c>
      <c r="K361" s="5" t="str">
        <f t="shared" si="622"/>
        <v>да</v>
      </c>
      <c r="L361" s="5" t="str">
        <f>""</f>
        <v/>
      </c>
      <c r="M361" s="5" t="str">
        <f>"60,00"</f>
        <v>60,00</v>
      </c>
      <c r="N361" s="5" t="str">
        <f>"2020"</f>
        <v>2020</v>
      </c>
      <c r="O361" s="8" t="str">
        <f>""</f>
        <v/>
      </c>
      <c r="P361" s="5" t="str">
        <f>"70,00"</f>
        <v>70,00</v>
      </c>
      <c r="Q361" s="5" t="str">
        <f>"2016"</f>
        <v>2016</v>
      </c>
      <c r="R361" s="5" t="str">
        <f t="shared" si="623"/>
        <v>нет</v>
      </c>
      <c r="S361" s="5" t="str">
        <f>""</f>
        <v/>
      </c>
      <c r="T361" s="5" t="str">
        <f>""</f>
        <v/>
      </c>
      <c r="U361" s="5" t="str">
        <f>""</f>
        <v/>
      </c>
      <c r="V361" s="5" t="str">
        <f t="shared" si="624"/>
        <v>нет</v>
      </c>
      <c r="W361" s="5" t="str">
        <f>""</f>
        <v/>
      </c>
      <c r="X361" s="5" t="str">
        <f>""</f>
        <v/>
      </c>
      <c r="Y361" s="9" t="str">
        <f>""</f>
        <v/>
      </c>
      <c r="Z361" s="5" t="str">
        <f>""</f>
        <v/>
      </c>
      <c r="AA361" s="5" t="str">
        <f>"50,00"</f>
        <v>50,00</v>
      </c>
      <c r="AB361" s="5" t="str">
        <f>"2019"</f>
        <v>2019</v>
      </c>
      <c r="AC361" s="5" t="str">
        <f t="shared" si="611"/>
        <v>нет</v>
      </c>
      <c r="AD361" s="5" t="str">
        <f>""</f>
        <v/>
      </c>
      <c r="AE361" s="5" t="str">
        <f>""</f>
        <v/>
      </c>
      <c r="AF361" s="5" t="str">
        <f>""</f>
        <v/>
      </c>
      <c r="AG361" s="5" t="str">
        <f t="shared" si="612"/>
        <v>нет</v>
      </c>
      <c r="AH361" s="5" t="str">
        <f>""</f>
        <v/>
      </c>
      <c r="AI361" s="5" t="str">
        <f>""</f>
        <v/>
      </c>
      <c r="AJ361" s="5" t="str">
        <f>""</f>
        <v/>
      </c>
      <c r="AK361" s="8" t="str">
        <f>""</f>
        <v/>
      </c>
      <c r="AL361" s="5" t="str">
        <f>"65,00"</f>
        <v>65,00</v>
      </c>
      <c r="AM361" s="5" t="str">
        <f>"2016"</f>
        <v>2016</v>
      </c>
      <c r="AN361" s="5" t="str">
        <f t="shared" si="625"/>
        <v>нет</v>
      </c>
      <c r="AO361" s="5" t="str">
        <f>""</f>
        <v/>
      </c>
      <c r="AP361" s="5" t="str">
        <f>""</f>
        <v/>
      </c>
      <c r="AQ361" s="5" t="str">
        <f>""</f>
        <v/>
      </c>
      <c r="AR361" s="5" t="str">
        <f t="shared" si="626"/>
        <v>нет</v>
      </c>
      <c r="AS361" s="5" t="str">
        <f>""</f>
        <v/>
      </c>
      <c r="AT361" s="5" t="str">
        <f>""</f>
        <v/>
      </c>
      <c r="AU361" s="5" t="str">
        <f>""</f>
        <v/>
      </c>
      <c r="AV361" s="5" t="str">
        <f>""</f>
        <v/>
      </c>
      <c r="AW361" s="5" t="str">
        <f>"50,00"</f>
        <v>50,00</v>
      </c>
      <c r="AX361" s="5" t="str">
        <f>"2017"</f>
        <v>2017</v>
      </c>
      <c r="AY361" s="5" t="str">
        <f t="shared" ref="AY361:AY366" si="631">"нет"</f>
        <v>нет</v>
      </c>
      <c r="AZ361" s="5" t="str">
        <f>""</f>
        <v/>
      </c>
      <c r="BA361" s="5" t="str">
        <f>""</f>
        <v/>
      </c>
      <c r="BB361" s="5" t="str">
        <f>""</f>
        <v/>
      </c>
      <c r="BC361" s="5" t="str">
        <f t="shared" ref="BC361:BC366" si="632">"нет"</f>
        <v>нет</v>
      </c>
      <c r="BD361" s="5" t="str">
        <f>""</f>
        <v/>
      </c>
      <c r="BE361" s="5" t="str">
        <f>""</f>
        <v/>
      </c>
      <c r="BF361" s="5" t="str">
        <f>""</f>
        <v/>
      </c>
      <c r="BG361" s="5" t="str">
        <f>""</f>
        <v/>
      </c>
      <c r="BH361" s="5" t="str">
        <f>"50,00"</f>
        <v>50,00</v>
      </c>
      <c r="BI361" s="5" t="str">
        <f>"2018"</f>
        <v>2018</v>
      </c>
      <c r="BJ361" s="5" t="str">
        <f t="shared" si="627"/>
        <v>нет</v>
      </c>
      <c r="BK361" s="5" t="str">
        <f>""</f>
        <v/>
      </c>
      <c r="BL361" s="5" t="str">
        <f>""</f>
        <v/>
      </c>
      <c r="BM361" s="5" t="str">
        <f>""</f>
        <v/>
      </c>
      <c r="BN361" s="5" t="str">
        <f t="shared" si="628"/>
        <v>нет</v>
      </c>
      <c r="BO361" s="5" t="str">
        <f>""</f>
        <v/>
      </c>
      <c r="BP361" s="5" t="str">
        <f>""</f>
        <v/>
      </c>
      <c r="BQ361" s="5" t="str">
        <f>""</f>
        <v/>
      </c>
      <c r="BR361" s="5" t="str">
        <f>""</f>
        <v/>
      </c>
      <c r="BS361" s="5" t="str">
        <f>"75,00"</f>
        <v>75,00</v>
      </c>
      <c r="BT361" s="5" t="str">
        <f>"2017"</f>
        <v>2017</v>
      </c>
      <c r="BU361" s="5" t="str">
        <f t="shared" si="518"/>
        <v>нет</v>
      </c>
      <c r="BV361" s="5" t="str">
        <f t="shared" si="630"/>
        <v>x</v>
      </c>
      <c r="BW361" s="5" t="str">
        <f t="shared" si="630"/>
        <v>x</v>
      </c>
      <c r="BX361" s="5" t="str">
        <f t="shared" si="630"/>
        <v>x</v>
      </c>
      <c r="BY361" s="5" t="str">
        <f t="shared" si="605"/>
        <v>нет</v>
      </c>
      <c r="BZ361" s="5" t="str">
        <f t="shared" si="606"/>
        <v>x</v>
      </c>
      <c r="CA361" s="5" t="str">
        <f t="shared" si="606"/>
        <v>x</v>
      </c>
      <c r="CB361" s="5" t="str">
        <f t="shared" si="606"/>
        <v>x</v>
      </c>
      <c r="CC361" s="5" t="str">
        <f>""</f>
        <v/>
      </c>
      <c r="CD361" s="5" t="str">
        <f>"60,00"</f>
        <v>60,00</v>
      </c>
      <c r="CE361" s="5" t="str">
        <f>"2017"</f>
        <v>2017</v>
      </c>
      <c r="CF361" s="5" t="str">
        <f>""</f>
        <v/>
      </c>
      <c r="CG361" s="5" t="str">
        <f>"60,00"</f>
        <v>60,00</v>
      </c>
      <c r="CH361" s="5" t="str">
        <f>"2016"</f>
        <v>2016</v>
      </c>
      <c r="CI361" s="5" t="str">
        <f>"35,00"</f>
        <v>35,00</v>
      </c>
      <c r="CJ361" s="5" t="str">
        <f>"2040"</f>
        <v>2040</v>
      </c>
    </row>
    <row r="362" spans="1:88" ht="11.25" customHeight="1">
      <c r="A362" s="3" t="str">
        <f>"1.349"</f>
        <v>1.349</v>
      </c>
      <c r="B362" s="4" t="str">
        <f>"д. Слобода (Перцевское МО), ул. Центральная, д.22"</f>
        <v>д. Слобода (Перцевское МО), ул. Центральная, д.22</v>
      </c>
      <c r="C362" s="7" t="str">
        <f>"1989"</f>
        <v>1989</v>
      </c>
      <c r="D362" s="5" t="str">
        <f>""</f>
        <v/>
      </c>
      <c r="E362" s="5" t="str">
        <f>"30,00"</f>
        <v>30,00</v>
      </c>
      <c r="F362" s="5" t="str">
        <f>"2029"</f>
        <v>2029</v>
      </c>
      <c r="G362" s="5" t="str">
        <f t="shared" si="621"/>
        <v>да</v>
      </c>
      <c r="H362" s="5" t="str">
        <f>""</f>
        <v/>
      </c>
      <c r="I362" s="5" t="str">
        <f>"30,00"</f>
        <v>30,00</v>
      </c>
      <c r="J362" s="5" t="str">
        <f>"2029"</f>
        <v>2029</v>
      </c>
      <c r="K362" s="5" t="str">
        <f t="shared" si="622"/>
        <v>да</v>
      </c>
      <c r="L362" s="5" t="str">
        <f>""</f>
        <v/>
      </c>
      <c r="M362" s="5" t="str">
        <f>"30,00"</f>
        <v>30,00</v>
      </c>
      <c r="N362" s="5" t="str">
        <f>"2029"</f>
        <v>2029</v>
      </c>
      <c r="O362" s="8" t="str">
        <f>""</f>
        <v/>
      </c>
      <c r="P362" s="5" t="str">
        <f>"30,00"</f>
        <v>30,00</v>
      </c>
      <c r="Q362" s="5" t="str">
        <f>"2029"</f>
        <v>2029</v>
      </c>
      <c r="R362" s="5" t="str">
        <f t="shared" si="623"/>
        <v>нет</v>
      </c>
      <c r="S362" s="5" t="str">
        <f>""</f>
        <v/>
      </c>
      <c r="T362" s="5" t="str">
        <f>""</f>
        <v/>
      </c>
      <c r="U362" s="5" t="str">
        <f>""</f>
        <v/>
      </c>
      <c r="V362" s="5" t="str">
        <f t="shared" si="624"/>
        <v>нет</v>
      </c>
      <c r="W362" s="5" t="str">
        <f>""</f>
        <v/>
      </c>
      <c r="X362" s="5" t="str">
        <f>""</f>
        <v/>
      </c>
      <c r="Y362" s="9" t="str">
        <f>""</f>
        <v/>
      </c>
      <c r="Z362" s="5" t="str">
        <f>""</f>
        <v/>
      </c>
      <c r="AA362" s="5" t="str">
        <f>"30,00"</f>
        <v>30,00</v>
      </c>
      <c r="AB362" s="5" t="str">
        <f>"2030"</f>
        <v>2030</v>
      </c>
      <c r="AC362" s="5" t="str">
        <f t="shared" si="611"/>
        <v>нет</v>
      </c>
      <c r="AD362" s="5" t="str">
        <f>""</f>
        <v/>
      </c>
      <c r="AE362" s="5" t="str">
        <f>""</f>
        <v/>
      </c>
      <c r="AF362" s="5" t="str">
        <f>""</f>
        <v/>
      </c>
      <c r="AG362" s="5" t="str">
        <f t="shared" si="612"/>
        <v>нет</v>
      </c>
      <c r="AH362" s="5" t="str">
        <f>""</f>
        <v/>
      </c>
      <c r="AI362" s="5" t="str">
        <f>""</f>
        <v/>
      </c>
      <c r="AJ362" s="5" t="str">
        <f>""</f>
        <v/>
      </c>
      <c r="AK362" s="8" t="str">
        <f>""</f>
        <v/>
      </c>
      <c r="AL362" s="5" t="str">
        <f>"30,00"</f>
        <v>30,00</v>
      </c>
      <c r="AM362" s="5" t="str">
        <f>"2031"</f>
        <v>2031</v>
      </c>
      <c r="AN362" s="5" t="str">
        <f t="shared" si="625"/>
        <v>нет</v>
      </c>
      <c r="AO362" s="5" t="str">
        <f>""</f>
        <v/>
      </c>
      <c r="AP362" s="5" t="str">
        <f>""</f>
        <v/>
      </c>
      <c r="AQ362" s="5" t="str">
        <f>""</f>
        <v/>
      </c>
      <c r="AR362" s="5" t="str">
        <f t="shared" si="626"/>
        <v>нет</v>
      </c>
      <c r="AS362" s="5" t="str">
        <f>""</f>
        <v/>
      </c>
      <c r="AT362" s="5" t="str">
        <f>""</f>
        <v/>
      </c>
      <c r="AU362" s="5" t="str">
        <f>""</f>
        <v/>
      </c>
      <c r="AV362" s="5" t="str">
        <f>""</f>
        <v/>
      </c>
      <c r="AW362" s="5" t="str">
        <f>"30,00"</f>
        <v>30,00</v>
      </c>
      <c r="AX362" s="5" t="str">
        <f>"2031"</f>
        <v>2031</v>
      </c>
      <c r="AY362" s="5" t="str">
        <f t="shared" si="631"/>
        <v>нет</v>
      </c>
      <c r="AZ362" s="5" t="str">
        <f>""</f>
        <v/>
      </c>
      <c r="BA362" s="5" t="str">
        <f>""</f>
        <v/>
      </c>
      <c r="BB362" s="5" t="str">
        <f>""</f>
        <v/>
      </c>
      <c r="BC362" s="5" t="str">
        <f t="shared" si="632"/>
        <v>нет</v>
      </c>
      <c r="BD362" s="5" t="str">
        <f>""</f>
        <v/>
      </c>
      <c r="BE362" s="5" t="str">
        <f>""</f>
        <v/>
      </c>
      <c r="BF362" s="5" t="str">
        <f>""</f>
        <v/>
      </c>
      <c r="BG362" s="5" t="str">
        <f>""</f>
        <v/>
      </c>
      <c r="BH362" s="5" t="str">
        <f>"30,00"</f>
        <v>30,00</v>
      </c>
      <c r="BI362" s="5" t="str">
        <f>"2032"</f>
        <v>2032</v>
      </c>
      <c r="BJ362" s="5" t="str">
        <f t="shared" si="627"/>
        <v>нет</v>
      </c>
      <c r="BK362" s="5" t="str">
        <f>""</f>
        <v/>
      </c>
      <c r="BL362" s="5" t="str">
        <f>""</f>
        <v/>
      </c>
      <c r="BM362" s="5" t="str">
        <f>""</f>
        <v/>
      </c>
      <c r="BN362" s="5" t="str">
        <f t="shared" si="628"/>
        <v>нет</v>
      </c>
      <c r="BO362" s="5" t="str">
        <f>""</f>
        <v/>
      </c>
      <c r="BP362" s="5" t="str">
        <f>""</f>
        <v/>
      </c>
      <c r="BQ362" s="5" t="str">
        <f>""</f>
        <v/>
      </c>
      <c r="BR362" s="5" t="str">
        <f>""</f>
        <v/>
      </c>
      <c r="BS362" s="5" t="str">
        <f>"60,00"</f>
        <v>60,00</v>
      </c>
      <c r="BT362" s="5" t="str">
        <f>"2021"</f>
        <v>2021</v>
      </c>
      <c r="BU362" s="5" t="str">
        <f t="shared" si="518"/>
        <v>нет</v>
      </c>
      <c r="BV362" s="5" t="str">
        <f t="shared" si="630"/>
        <v>x</v>
      </c>
      <c r="BW362" s="5" t="str">
        <f t="shared" si="630"/>
        <v>x</v>
      </c>
      <c r="BX362" s="5" t="str">
        <f t="shared" si="630"/>
        <v>x</v>
      </c>
      <c r="BY362" s="5" t="str">
        <f t="shared" si="605"/>
        <v>нет</v>
      </c>
      <c r="BZ362" s="5" t="str">
        <f t="shared" si="606"/>
        <v>x</v>
      </c>
      <c r="CA362" s="5" t="str">
        <f t="shared" si="606"/>
        <v>x</v>
      </c>
      <c r="CB362" s="5" t="str">
        <f t="shared" si="606"/>
        <v>x</v>
      </c>
      <c r="CC362" s="5" t="str">
        <f>""</f>
        <v/>
      </c>
      <c r="CD362" s="5" t="str">
        <f>"30,00"</f>
        <v>30,00</v>
      </c>
      <c r="CE362" s="5" t="str">
        <f>"2025"</f>
        <v>2025</v>
      </c>
      <c r="CF362" s="5" t="str">
        <f>""</f>
        <v/>
      </c>
      <c r="CG362" s="5" t="str">
        <f>"30,00"</f>
        <v>30,00</v>
      </c>
      <c r="CH362" s="5" t="str">
        <f>"2024"</f>
        <v>2024</v>
      </c>
      <c r="CI362" s="5" t="str">
        <f>"30,00"</f>
        <v>30,00</v>
      </c>
      <c r="CJ362" s="5" t="str">
        <f>"2042"</f>
        <v>2042</v>
      </c>
    </row>
    <row r="363" spans="1:88" ht="11.25" customHeight="1">
      <c r="A363" s="3" t="str">
        <f>"1.350"</f>
        <v>1.350</v>
      </c>
      <c r="B363" s="4" t="str">
        <f>"д. Слобода (Перцевское МО), ул. Центральная, д.23"</f>
        <v>д. Слобода (Перцевское МО), ул. Центральная, д.23</v>
      </c>
      <c r="C363" s="7" t="str">
        <f>"1989"</f>
        <v>1989</v>
      </c>
      <c r="D363" s="5" t="str">
        <f>""</f>
        <v/>
      </c>
      <c r="E363" s="5" t="str">
        <f>"25,00"</f>
        <v>25,00</v>
      </c>
      <c r="F363" s="5" t="str">
        <f>"2029"</f>
        <v>2029</v>
      </c>
      <c r="G363" s="5" t="str">
        <f t="shared" si="621"/>
        <v>да</v>
      </c>
      <c r="H363" s="5" t="str">
        <f>""</f>
        <v/>
      </c>
      <c r="I363" s="5" t="str">
        <f>"25,00"</f>
        <v>25,00</v>
      </c>
      <c r="J363" s="5" t="str">
        <f>"2029"</f>
        <v>2029</v>
      </c>
      <c r="K363" s="5" t="str">
        <f t="shared" si="622"/>
        <v>да</v>
      </c>
      <c r="L363" s="5" t="str">
        <f>""</f>
        <v/>
      </c>
      <c r="M363" s="5" t="str">
        <f>"25,00"</f>
        <v>25,00</v>
      </c>
      <c r="N363" s="5" t="str">
        <f>"2029"</f>
        <v>2029</v>
      </c>
      <c r="O363" s="8" t="str">
        <f>""</f>
        <v/>
      </c>
      <c r="P363" s="5" t="str">
        <f>"30,00"</f>
        <v>30,00</v>
      </c>
      <c r="Q363" s="5" t="str">
        <f>"2028"</f>
        <v>2028</v>
      </c>
      <c r="R363" s="5" t="str">
        <f t="shared" si="623"/>
        <v>нет</v>
      </c>
      <c r="S363" s="5" t="str">
        <f>""</f>
        <v/>
      </c>
      <c r="T363" s="5" t="str">
        <f>""</f>
        <v/>
      </c>
      <c r="U363" s="5" t="str">
        <f>""</f>
        <v/>
      </c>
      <c r="V363" s="5" t="str">
        <f t="shared" si="624"/>
        <v>нет</v>
      </c>
      <c r="W363" s="5" t="str">
        <f>""</f>
        <v/>
      </c>
      <c r="X363" s="5" t="str">
        <f>""</f>
        <v/>
      </c>
      <c r="Y363" s="9" t="str">
        <f>""</f>
        <v/>
      </c>
      <c r="Z363" s="5" t="str">
        <f>""</f>
        <v/>
      </c>
      <c r="AA363" s="5" t="str">
        <f>"20,00"</f>
        <v>20,00</v>
      </c>
      <c r="AB363" s="5" t="str">
        <f>"2031"</f>
        <v>2031</v>
      </c>
      <c r="AC363" s="5" t="str">
        <f t="shared" si="611"/>
        <v>нет</v>
      </c>
      <c r="AD363" s="5" t="str">
        <f>""</f>
        <v/>
      </c>
      <c r="AE363" s="5" t="str">
        <f>""</f>
        <v/>
      </c>
      <c r="AF363" s="5" t="str">
        <f>""</f>
        <v/>
      </c>
      <c r="AG363" s="5" t="str">
        <f t="shared" si="612"/>
        <v>нет</v>
      </c>
      <c r="AH363" s="5" t="str">
        <f>""</f>
        <v/>
      </c>
      <c r="AI363" s="5" t="str">
        <f>""</f>
        <v/>
      </c>
      <c r="AJ363" s="5" t="str">
        <f>""</f>
        <v/>
      </c>
      <c r="AK363" s="8" t="str">
        <f>""</f>
        <v/>
      </c>
      <c r="AL363" s="5" t="str">
        <f>"30,00"</f>
        <v>30,00</v>
      </c>
      <c r="AM363" s="5" t="str">
        <f>"2030"</f>
        <v>2030</v>
      </c>
      <c r="AN363" s="5" t="str">
        <f t="shared" si="625"/>
        <v>нет</v>
      </c>
      <c r="AO363" s="5" t="str">
        <f>""</f>
        <v/>
      </c>
      <c r="AP363" s="5" t="str">
        <f>""</f>
        <v/>
      </c>
      <c r="AQ363" s="5" t="str">
        <f>""</f>
        <v/>
      </c>
      <c r="AR363" s="5" t="str">
        <f t="shared" si="626"/>
        <v>нет</v>
      </c>
      <c r="AS363" s="5" t="str">
        <f>""</f>
        <v/>
      </c>
      <c r="AT363" s="5" t="str">
        <f>""</f>
        <v/>
      </c>
      <c r="AU363" s="5" t="str">
        <f>""</f>
        <v/>
      </c>
      <c r="AV363" s="5" t="str">
        <f>""</f>
        <v/>
      </c>
      <c r="AW363" s="5" t="str">
        <f>"30,00"</f>
        <v>30,00</v>
      </c>
      <c r="AX363" s="5" t="str">
        <f>"2031"</f>
        <v>2031</v>
      </c>
      <c r="AY363" s="5" t="str">
        <f t="shared" si="631"/>
        <v>нет</v>
      </c>
      <c r="AZ363" s="5" t="str">
        <f>""</f>
        <v/>
      </c>
      <c r="BA363" s="5" t="str">
        <f>""</f>
        <v/>
      </c>
      <c r="BB363" s="5" t="str">
        <f>""</f>
        <v/>
      </c>
      <c r="BC363" s="5" t="str">
        <f t="shared" si="632"/>
        <v>нет</v>
      </c>
      <c r="BD363" s="5" t="str">
        <f>""</f>
        <v/>
      </c>
      <c r="BE363" s="5" t="str">
        <f>""</f>
        <v/>
      </c>
      <c r="BF363" s="5" t="str">
        <f>""</f>
        <v/>
      </c>
      <c r="BG363" s="5" t="str">
        <f>""</f>
        <v/>
      </c>
      <c r="BH363" s="5" t="str">
        <f>"30,00"</f>
        <v>30,00</v>
      </c>
      <c r="BI363" s="5" t="str">
        <f>"2029"</f>
        <v>2029</v>
      </c>
      <c r="BJ363" s="5" t="str">
        <f t="shared" si="627"/>
        <v>нет</v>
      </c>
      <c r="BK363" s="5" t="str">
        <f>""</f>
        <v/>
      </c>
      <c r="BL363" s="5" t="str">
        <f>""</f>
        <v/>
      </c>
      <c r="BM363" s="5" t="str">
        <f>""</f>
        <v/>
      </c>
      <c r="BN363" s="5" t="str">
        <f t="shared" si="628"/>
        <v>нет</v>
      </c>
      <c r="BO363" s="5" t="str">
        <f>""</f>
        <v/>
      </c>
      <c r="BP363" s="5" t="str">
        <f>""</f>
        <v/>
      </c>
      <c r="BQ363" s="5" t="str">
        <f>""</f>
        <v/>
      </c>
      <c r="BR363" s="5" t="str">
        <f>""</f>
        <v/>
      </c>
      <c r="BS363" s="5" t="str">
        <f>"60,00"</f>
        <v>60,00</v>
      </c>
      <c r="BT363" s="5" t="str">
        <f>"2020"</f>
        <v>2020</v>
      </c>
      <c r="BU363" s="5" t="str">
        <f t="shared" si="518"/>
        <v>нет</v>
      </c>
      <c r="BV363" s="5" t="str">
        <f t="shared" si="630"/>
        <v>x</v>
      </c>
      <c r="BW363" s="5" t="str">
        <f t="shared" si="630"/>
        <v>x</v>
      </c>
      <c r="BX363" s="5" t="str">
        <f t="shared" si="630"/>
        <v>x</v>
      </c>
      <c r="BY363" s="5" t="str">
        <f t="shared" si="605"/>
        <v>нет</v>
      </c>
      <c r="BZ363" s="5" t="str">
        <f t="shared" si="606"/>
        <v>x</v>
      </c>
      <c r="CA363" s="5" t="str">
        <f t="shared" si="606"/>
        <v>x</v>
      </c>
      <c r="CB363" s="5" t="str">
        <f t="shared" si="606"/>
        <v>x</v>
      </c>
      <c r="CC363" s="5" t="str">
        <f>""</f>
        <v/>
      </c>
      <c r="CD363" s="5" t="str">
        <f>"30,00"</f>
        <v>30,00</v>
      </c>
      <c r="CE363" s="5" t="str">
        <f>"2031"</f>
        <v>2031</v>
      </c>
      <c r="CF363" s="5" t="str">
        <f>""</f>
        <v/>
      </c>
      <c r="CG363" s="5" t="str">
        <f>"30,00"</f>
        <v>30,00</v>
      </c>
      <c r="CH363" s="5" t="str">
        <f>"2032"</f>
        <v>2032</v>
      </c>
      <c r="CI363" s="5" t="str">
        <f>"30,00"</f>
        <v>30,00</v>
      </c>
      <c r="CJ363" s="5" t="str">
        <f>"2039"</f>
        <v>2039</v>
      </c>
    </row>
    <row r="364" spans="1:88" ht="11.25" customHeight="1">
      <c r="A364" s="3" t="str">
        <f>"1.351"</f>
        <v>1.351</v>
      </c>
      <c r="B364" s="4" t="str">
        <f>"д. Слобода (Перцевское МО), ул. Центральная, д.3"</f>
        <v>д. Слобода (Перцевское МО), ул. Центральная, д.3</v>
      </c>
      <c r="C364" s="7" t="str">
        <f>"1972"</f>
        <v>1972</v>
      </c>
      <c r="D364" s="5" t="str">
        <f>""</f>
        <v/>
      </c>
      <c r="E364" s="5" t="str">
        <f>"50,00"</f>
        <v>50,00</v>
      </c>
      <c r="F364" s="5" t="str">
        <f>"2016"</f>
        <v>2016</v>
      </c>
      <c r="G364" s="5" t="str">
        <f t="shared" si="621"/>
        <v>да</v>
      </c>
      <c r="H364" s="5" t="str">
        <f>""</f>
        <v/>
      </c>
      <c r="I364" s="5" t="str">
        <f>"50,00"</f>
        <v>50,00</v>
      </c>
      <c r="J364" s="5" t="str">
        <f>"2016"</f>
        <v>2016</v>
      </c>
      <c r="K364" s="5" t="str">
        <f t="shared" si="622"/>
        <v>да</v>
      </c>
      <c r="L364" s="5" t="str">
        <f>""</f>
        <v/>
      </c>
      <c r="M364" s="5" t="str">
        <f>"50,00"</f>
        <v>50,00</v>
      </c>
      <c r="N364" s="5" t="str">
        <f>"2016"</f>
        <v>2016</v>
      </c>
      <c r="O364" s="8" t="str">
        <f>""</f>
        <v/>
      </c>
      <c r="P364" s="5" t="str">
        <f>"55,00"</f>
        <v>55,00</v>
      </c>
      <c r="Q364" s="5" t="str">
        <f>"2018"</f>
        <v>2018</v>
      </c>
      <c r="R364" s="5" t="str">
        <f t="shared" si="623"/>
        <v>нет</v>
      </c>
      <c r="S364" s="5" t="str">
        <f>""</f>
        <v/>
      </c>
      <c r="T364" s="5" t="str">
        <f>""</f>
        <v/>
      </c>
      <c r="U364" s="5" t="str">
        <f>""</f>
        <v/>
      </c>
      <c r="V364" s="5" t="str">
        <f t="shared" si="624"/>
        <v>нет</v>
      </c>
      <c r="W364" s="5" t="str">
        <f>""</f>
        <v/>
      </c>
      <c r="X364" s="5" t="str">
        <f>""</f>
        <v/>
      </c>
      <c r="Y364" s="9" t="str">
        <f>""</f>
        <v/>
      </c>
      <c r="Z364" s="5" t="str">
        <f>""</f>
        <v/>
      </c>
      <c r="AA364" s="5" t="str">
        <f>"50,00"</f>
        <v>50,00</v>
      </c>
      <c r="AB364" s="5" t="str">
        <f>"2018"</f>
        <v>2018</v>
      </c>
      <c r="AC364" s="5" t="str">
        <f t="shared" si="611"/>
        <v>нет</v>
      </c>
      <c r="AD364" s="5" t="str">
        <f>""</f>
        <v/>
      </c>
      <c r="AE364" s="5" t="str">
        <f>""</f>
        <v/>
      </c>
      <c r="AF364" s="5" t="str">
        <f>""</f>
        <v/>
      </c>
      <c r="AG364" s="5" t="str">
        <f t="shared" si="612"/>
        <v>нет</v>
      </c>
      <c r="AH364" s="5" t="str">
        <f>""</f>
        <v/>
      </c>
      <c r="AI364" s="5" t="str">
        <f>""</f>
        <v/>
      </c>
      <c r="AJ364" s="5" t="str">
        <f>""</f>
        <v/>
      </c>
      <c r="AK364" s="8" t="str">
        <f>""</f>
        <v/>
      </c>
      <c r="AL364" s="5" t="str">
        <f>"55,00"</f>
        <v>55,00</v>
      </c>
      <c r="AM364" s="5" t="str">
        <f>"2018"</f>
        <v>2018</v>
      </c>
      <c r="AN364" s="5" t="str">
        <f t="shared" si="625"/>
        <v>нет</v>
      </c>
      <c r="AO364" s="5" t="str">
        <f>""</f>
        <v/>
      </c>
      <c r="AP364" s="5" t="str">
        <f>""</f>
        <v/>
      </c>
      <c r="AQ364" s="5" t="str">
        <f>""</f>
        <v/>
      </c>
      <c r="AR364" s="5" t="str">
        <f t="shared" si="626"/>
        <v>нет</v>
      </c>
      <c r="AS364" s="5" t="str">
        <f>""</f>
        <v/>
      </c>
      <c r="AT364" s="5" t="str">
        <f>""</f>
        <v/>
      </c>
      <c r="AU364" s="5" t="str">
        <f>""</f>
        <v/>
      </c>
      <c r="AV364" s="5" t="str">
        <f>""</f>
        <v/>
      </c>
      <c r="AW364" s="5" t="str">
        <f>"60,00"</f>
        <v>60,00</v>
      </c>
      <c r="AX364" s="5" t="str">
        <f>"2018"</f>
        <v>2018</v>
      </c>
      <c r="AY364" s="5" t="str">
        <f t="shared" si="631"/>
        <v>нет</v>
      </c>
      <c r="AZ364" s="5" t="str">
        <f>""</f>
        <v/>
      </c>
      <c r="BA364" s="5" t="str">
        <f>""</f>
        <v/>
      </c>
      <c r="BB364" s="5" t="str">
        <f>""</f>
        <v/>
      </c>
      <c r="BC364" s="5" t="str">
        <f t="shared" si="632"/>
        <v>нет</v>
      </c>
      <c r="BD364" s="5" t="str">
        <f>""</f>
        <v/>
      </c>
      <c r="BE364" s="5" t="str">
        <f>""</f>
        <v/>
      </c>
      <c r="BF364" s="5" t="str">
        <f>""</f>
        <v/>
      </c>
      <c r="BG364" s="5" t="str">
        <f>""</f>
        <v/>
      </c>
      <c r="BH364" s="5" t="str">
        <f>"60,00"</f>
        <v>60,00</v>
      </c>
      <c r="BI364" s="5" t="str">
        <f>"2016"</f>
        <v>2016</v>
      </c>
      <c r="BJ364" s="5" t="str">
        <f t="shared" si="627"/>
        <v>нет</v>
      </c>
      <c r="BK364" s="5" t="str">
        <f>""</f>
        <v/>
      </c>
      <c r="BL364" s="5" t="str">
        <f>""</f>
        <v/>
      </c>
      <c r="BM364" s="5" t="str">
        <f>""</f>
        <v/>
      </c>
      <c r="BN364" s="5" t="str">
        <f t="shared" si="628"/>
        <v>нет</v>
      </c>
      <c r="BO364" s="5" t="str">
        <f>""</f>
        <v/>
      </c>
      <c r="BP364" s="5" t="str">
        <f>""</f>
        <v/>
      </c>
      <c r="BQ364" s="5" t="str">
        <f>""</f>
        <v/>
      </c>
      <c r="BR364" s="5" t="str">
        <f>""</f>
        <v/>
      </c>
      <c r="BS364" s="5" t="str">
        <f>"40,00"</f>
        <v>40,00</v>
      </c>
      <c r="BT364" s="5" t="str">
        <f>"2018"</f>
        <v>2018</v>
      </c>
      <c r="BU364" s="5" t="str">
        <f t="shared" ref="BU364:BU427" si="633">"нет"</f>
        <v>нет</v>
      </c>
      <c r="BV364" s="5" t="str">
        <f t="shared" si="630"/>
        <v>x</v>
      </c>
      <c r="BW364" s="5" t="str">
        <f t="shared" si="630"/>
        <v>x</v>
      </c>
      <c r="BX364" s="5" t="str">
        <f t="shared" si="630"/>
        <v>x</v>
      </c>
      <c r="BY364" s="5" t="str">
        <f t="shared" si="605"/>
        <v>нет</v>
      </c>
      <c r="BZ364" s="5" t="str">
        <f t="shared" si="606"/>
        <v>x</v>
      </c>
      <c r="CA364" s="5" t="str">
        <f t="shared" si="606"/>
        <v>x</v>
      </c>
      <c r="CB364" s="5" t="str">
        <f t="shared" si="606"/>
        <v>x</v>
      </c>
      <c r="CC364" s="5" t="str">
        <f>""</f>
        <v/>
      </c>
      <c r="CD364" s="5" t="str">
        <f>"60,00"</f>
        <v>60,00</v>
      </c>
      <c r="CE364" s="5" t="str">
        <f>"2018"</f>
        <v>2018</v>
      </c>
      <c r="CF364" s="5" t="str">
        <f>""</f>
        <v/>
      </c>
      <c r="CG364" s="5" t="str">
        <f>"60,00"</f>
        <v>60,00</v>
      </c>
      <c r="CH364" s="5" t="str">
        <f>"2019"</f>
        <v>2019</v>
      </c>
      <c r="CI364" s="5" t="str">
        <f>"40,00"</f>
        <v>40,00</v>
      </c>
      <c r="CJ364" s="5" t="str">
        <f>"2040"</f>
        <v>2040</v>
      </c>
    </row>
    <row r="365" spans="1:88" ht="11.25" customHeight="1">
      <c r="A365" s="3" t="str">
        <f>"1.352"</f>
        <v>1.352</v>
      </c>
      <c r="B365" s="4" t="str">
        <f>"д. Слобода (Перцевское МО), ул. Центральная, д.4"</f>
        <v>д. Слобода (Перцевское МО), ул. Центральная, д.4</v>
      </c>
      <c r="C365" s="7" t="str">
        <f>"1972"</f>
        <v>1972</v>
      </c>
      <c r="D365" s="5" t="str">
        <f>""</f>
        <v/>
      </c>
      <c r="E365" s="5" t="str">
        <f>"50,00"</f>
        <v>50,00</v>
      </c>
      <c r="F365" s="5" t="str">
        <f>"2016"</f>
        <v>2016</v>
      </c>
      <c r="G365" s="5" t="str">
        <f t="shared" si="621"/>
        <v>да</v>
      </c>
      <c r="H365" s="5" t="str">
        <f>""</f>
        <v/>
      </c>
      <c r="I365" s="5" t="str">
        <f>"50,00"</f>
        <v>50,00</v>
      </c>
      <c r="J365" s="5" t="str">
        <f>"2016"</f>
        <v>2016</v>
      </c>
      <c r="K365" s="5" t="str">
        <f t="shared" si="622"/>
        <v>да</v>
      </c>
      <c r="L365" s="5" t="str">
        <f>""</f>
        <v/>
      </c>
      <c r="M365" s="5" t="str">
        <f>"50,00"</f>
        <v>50,00</v>
      </c>
      <c r="N365" s="5" t="str">
        <f>"2016"</f>
        <v>2016</v>
      </c>
      <c r="O365" s="8" t="str">
        <f>""</f>
        <v/>
      </c>
      <c r="P365" s="5" t="str">
        <f>"60,00"</f>
        <v>60,00</v>
      </c>
      <c r="Q365" s="5" t="str">
        <f>"2017"</f>
        <v>2017</v>
      </c>
      <c r="R365" s="5" t="str">
        <f t="shared" si="623"/>
        <v>нет</v>
      </c>
      <c r="S365" s="5" t="str">
        <f>""</f>
        <v/>
      </c>
      <c r="T365" s="5" t="str">
        <f>""</f>
        <v/>
      </c>
      <c r="U365" s="5" t="str">
        <f>""</f>
        <v/>
      </c>
      <c r="V365" s="5" t="str">
        <f t="shared" si="624"/>
        <v>нет</v>
      </c>
      <c r="W365" s="5" t="str">
        <f>""</f>
        <v/>
      </c>
      <c r="X365" s="5" t="str">
        <f>""</f>
        <v/>
      </c>
      <c r="Y365" s="9" t="str">
        <f>""</f>
        <v/>
      </c>
      <c r="Z365" s="5" t="str">
        <f>""</f>
        <v/>
      </c>
      <c r="AA365" s="5" t="str">
        <f>"45,00"</f>
        <v>45,00</v>
      </c>
      <c r="AB365" s="5" t="str">
        <f>"2017"</f>
        <v>2017</v>
      </c>
      <c r="AC365" s="5" t="str">
        <f t="shared" si="611"/>
        <v>нет</v>
      </c>
      <c r="AD365" s="5" t="str">
        <f>""</f>
        <v/>
      </c>
      <c r="AE365" s="5" t="str">
        <f>""</f>
        <v/>
      </c>
      <c r="AF365" s="5" t="str">
        <f>""</f>
        <v/>
      </c>
      <c r="AG365" s="5" t="str">
        <f t="shared" si="612"/>
        <v>нет</v>
      </c>
      <c r="AH365" s="5" t="str">
        <f>""</f>
        <v/>
      </c>
      <c r="AI365" s="5" t="str">
        <f>""</f>
        <v/>
      </c>
      <c r="AJ365" s="5" t="str">
        <f>""</f>
        <v/>
      </c>
      <c r="AK365" s="8" t="str">
        <f>""</f>
        <v/>
      </c>
      <c r="AL365" s="5" t="str">
        <f>"45,00"</f>
        <v>45,00</v>
      </c>
      <c r="AM365" s="5" t="str">
        <f>"2018"</f>
        <v>2018</v>
      </c>
      <c r="AN365" s="5" t="str">
        <f t="shared" si="625"/>
        <v>нет</v>
      </c>
      <c r="AO365" s="5" t="str">
        <f>""</f>
        <v/>
      </c>
      <c r="AP365" s="5" t="str">
        <f>""</f>
        <v/>
      </c>
      <c r="AQ365" s="5" t="str">
        <f>""</f>
        <v/>
      </c>
      <c r="AR365" s="5" t="str">
        <f t="shared" si="626"/>
        <v>нет</v>
      </c>
      <c r="AS365" s="5" t="str">
        <f>""</f>
        <v/>
      </c>
      <c r="AT365" s="5" t="str">
        <f>""</f>
        <v/>
      </c>
      <c r="AU365" s="5" t="str">
        <f>""</f>
        <v/>
      </c>
      <c r="AV365" s="5" t="str">
        <f>""</f>
        <v/>
      </c>
      <c r="AW365" s="5" t="str">
        <f>"45,00"</f>
        <v>45,00</v>
      </c>
      <c r="AX365" s="5" t="str">
        <f>"2018"</f>
        <v>2018</v>
      </c>
      <c r="AY365" s="5" t="str">
        <f t="shared" si="631"/>
        <v>нет</v>
      </c>
      <c r="AZ365" s="5" t="str">
        <f>""</f>
        <v/>
      </c>
      <c r="BA365" s="5" t="str">
        <f>""</f>
        <v/>
      </c>
      <c r="BB365" s="5" t="str">
        <f>""</f>
        <v/>
      </c>
      <c r="BC365" s="5" t="str">
        <f t="shared" si="632"/>
        <v>нет</v>
      </c>
      <c r="BD365" s="5" t="str">
        <f>""</f>
        <v/>
      </c>
      <c r="BE365" s="5" t="str">
        <f>""</f>
        <v/>
      </c>
      <c r="BF365" s="5" t="str">
        <f>""</f>
        <v/>
      </c>
      <c r="BG365" s="5" t="str">
        <f>""</f>
        <v/>
      </c>
      <c r="BH365" s="5" t="str">
        <f>"50,00"</f>
        <v>50,00</v>
      </c>
      <c r="BI365" s="5" t="str">
        <f>"2017"</f>
        <v>2017</v>
      </c>
      <c r="BJ365" s="5" t="str">
        <f t="shared" si="627"/>
        <v>нет</v>
      </c>
      <c r="BK365" s="5" t="str">
        <f>""</f>
        <v/>
      </c>
      <c r="BL365" s="5" t="str">
        <f>""</f>
        <v/>
      </c>
      <c r="BM365" s="5" t="str">
        <f>""</f>
        <v/>
      </c>
      <c r="BN365" s="5" t="str">
        <f t="shared" si="628"/>
        <v>нет</v>
      </c>
      <c r="BO365" s="5" t="str">
        <f>""</f>
        <v/>
      </c>
      <c r="BP365" s="5" t="str">
        <f>""</f>
        <v/>
      </c>
      <c r="BQ365" s="5" t="str">
        <f>""</f>
        <v/>
      </c>
      <c r="BR365" s="5" t="str">
        <f>""</f>
        <v/>
      </c>
      <c r="BS365" s="5" t="str">
        <f>"70,00"</f>
        <v>70,00</v>
      </c>
      <c r="BT365" s="5" t="str">
        <f>"2016"</f>
        <v>2016</v>
      </c>
      <c r="BU365" s="5" t="str">
        <f t="shared" si="633"/>
        <v>нет</v>
      </c>
      <c r="BV365" s="5" t="str">
        <f t="shared" si="630"/>
        <v>x</v>
      </c>
      <c r="BW365" s="5" t="str">
        <f t="shared" si="630"/>
        <v>x</v>
      </c>
      <c r="BX365" s="5" t="str">
        <f t="shared" si="630"/>
        <v>x</v>
      </c>
      <c r="BY365" s="5" t="str">
        <f t="shared" si="605"/>
        <v>нет</v>
      </c>
      <c r="BZ365" s="5" t="str">
        <f t="shared" si="606"/>
        <v>x</v>
      </c>
      <c r="CA365" s="5" t="str">
        <f t="shared" si="606"/>
        <v>x</v>
      </c>
      <c r="CB365" s="5" t="str">
        <f t="shared" si="606"/>
        <v>x</v>
      </c>
      <c r="CC365" s="5" t="str">
        <f>""</f>
        <v/>
      </c>
      <c r="CD365" s="5" t="str">
        <f>"50,00"</f>
        <v>50,00</v>
      </c>
      <c r="CE365" s="5" t="str">
        <f>"2019"</f>
        <v>2019</v>
      </c>
      <c r="CF365" s="5" t="str">
        <f>""</f>
        <v/>
      </c>
      <c r="CG365" s="5" t="str">
        <f>"50,00"</f>
        <v>50,00</v>
      </c>
      <c r="CH365" s="5" t="str">
        <f>"2020"</f>
        <v>2020</v>
      </c>
      <c r="CI365" s="5" t="str">
        <f>"60,00"</f>
        <v>60,00</v>
      </c>
      <c r="CJ365" s="5" t="str">
        <f>"2040"</f>
        <v>2040</v>
      </c>
    </row>
    <row r="366" spans="1:88" ht="11.25" customHeight="1">
      <c r="A366" s="3" t="str">
        <f>"1.353"</f>
        <v>1.353</v>
      </c>
      <c r="B366" s="4" t="str">
        <f>"д. Слобода (Перцевское МО), ул. Центральная, д.8"</f>
        <v>д. Слобода (Перцевское МО), ул. Центральная, д.8</v>
      </c>
      <c r="C366" s="7" t="str">
        <f>"1977"</f>
        <v>1977</v>
      </c>
      <c r="D366" s="5" t="str">
        <f>""</f>
        <v/>
      </c>
      <c r="E366" s="5" t="str">
        <f>"50,00"</f>
        <v>50,00</v>
      </c>
      <c r="F366" s="5" t="str">
        <f>"2023"</f>
        <v>2023</v>
      </c>
      <c r="G366" s="5" t="str">
        <f t="shared" si="621"/>
        <v>да</v>
      </c>
      <c r="H366" s="5" t="str">
        <f>""</f>
        <v/>
      </c>
      <c r="I366" s="5" t="str">
        <f>"50,00"</f>
        <v>50,00</v>
      </c>
      <c r="J366" s="5" t="str">
        <f>"2023"</f>
        <v>2023</v>
      </c>
      <c r="K366" s="5" t="str">
        <f t="shared" si="622"/>
        <v>да</v>
      </c>
      <c r="L366" s="5" t="str">
        <f>""</f>
        <v/>
      </c>
      <c r="M366" s="5" t="str">
        <f>"50,00"</f>
        <v>50,00</v>
      </c>
      <c r="N366" s="5" t="str">
        <f>"2023"</f>
        <v>2023</v>
      </c>
      <c r="O366" s="8" t="str">
        <f>""</f>
        <v/>
      </c>
      <c r="P366" s="5" t="str">
        <f>"45,00"</f>
        <v>45,00</v>
      </c>
      <c r="Q366" s="5" t="str">
        <f>"2021"</f>
        <v>2021</v>
      </c>
      <c r="R366" s="5" t="str">
        <f t="shared" si="623"/>
        <v>нет</v>
      </c>
      <c r="S366" s="5" t="str">
        <f>""</f>
        <v/>
      </c>
      <c r="T366" s="5" t="str">
        <f>""</f>
        <v/>
      </c>
      <c r="U366" s="5" t="str">
        <f>""</f>
        <v/>
      </c>
      <c r="V366" s="5" t="str">
        <f t="shared" si="624"/>
        <v>нет</v>
      </c>
      <c r="W366" s="5" t="str">
        <f>""</f>
        <v/>
      </c>
      <c r="X366" s="5" t="str">
        <f>""</f>
        <v/>
      </c>
      <c r="Y366" s="9" t="str">
        <f>""</f>
        <v/>
      </c>
      <c r="Z366" s="5" t="str">
        <f>""</f>
        <v/>
      </c>
      <c r="AA366" s="5" t="str">
        <f>"45,00"</f>
        <v>45,00</v>
      </c>
      <c r="AB366" s="5" t="str">
        <f>"2026"</f>
        <v>2026</v>
      </c>
      <c r="AC366" s="5" t="str">
        <f t="shared" si="611"/>
        <v>нет</v>
      </c>
      <c r="AD366" s="5" t="str">
        <f>""</f>
        <v/>
      </c>
      <c r="AE366" s="5" t="str">
        <f>""</f>
        <v/>
      </c>
      <c r="AF366" s="5" t="str">
        <f>""</f>
        <v/>
      </c>
      <c r="AG366" s="5" t="str">
        <f t="shared" si="612"/>
        <v>нет</v>
      </c>
      <c r="AH366" s="5" t="str">
        <f>""</f>
        <v/>
      </c>
      <c r="AI366" s="5" t="str">
        <f>""</f>
        <v/>
      </c>
      <c r="AJ366" s="5" t="str">
        <f>""</f>
        <v/>
      </c>
      <c r="AK366" s="8" t="str">
        <f>""</f>
        <v/>
      </c>
      <c r="AL366" s="5" t="str">
        <f>"50,00"</f>
        <v>50,00</v>
      </c>
      <c r="AM366" s="5" t="str">
        <f>"2022"</f>
        <v>2022</v>
      </c>
      <c r="AN366" s="5" t="str">
        <f t="shared" si="625"/>
        <v>нет</v>
      </c>
      <c r="AO366" s="5" t="str">
        <f>""</f>
        <v/>
      </c>
      <c r="AP366" s="5" t="str">
        <f>""</f>
        <v/>
      </c>
      <c r="AQ366" s="5" t="str">
        <f>""</f>
        <v/>
      </c>
      <c r="AR366" s="5" t="str">
        <f t="shared" si="626"/>
        <v>нет</v>
      </c>
      <c r="AS366" s="5" t="str">
        <f>""</f>
        <v/>
      </c>
      <c r="AT366" s="5" t="str">
        <f>""</f>
        <v/>
      </c>
      <c r="AU366" s="5" t="str">
        <f>""</f>
        <v/>
      </c>
      <c r="AV366" s="5" t="str">
        <f>""</f>
        <v/>
      </c>
      <c r="AW366" s="5" t="str">
        <f>"50,00"</f>
        <v>50,00</v>
      </c>
      <c r="AX366" s="5" t="str">
        <f>"2022"</f>
        <v>2022</v>
      </c>
      <c r="AY366" s="5" t="str">
        <f t="shared" si="631"/>
        <v>нет</v>
      </c>
      <c r="AZ366" s="5" t="str">
        <f>""</f>
        <v/>
      </c>
      <c r="BA366" s="5" t="str">
        <f>""</f>
        <v/>
      </c>
      <c r="BB366" s="5" t="str">
        <f>""</f>
        <v/>
      </c>
      <c r="BC366" s="5" t="str">
        <f t="shared" si="632"/>
        <v>нет</v>
      </c>
      <c r="BD366" s="5" t="str">
        <f>""</f>
        <v/>
      </c>
      <c r="BE366" s="5" t="str">
        <f>""</f>
        <v/>
      </c>
      <c r="BF366" s="5" t="str">
        <f>""</f>
        <v/>
      </c>
      <c r="BG366" s="5" t="str">
        <f>""</f>
        <v/>
      </c>
      <c r="BH366" s="5" t="str">
        <f>"55,00"</f>
        <v>55,00</v>
      </c>
      <c r="BI366" s="5" t="str">
        <f>"2019"</f>
        <v>2019</v>
      </c>
      <c r="BJ366" s="5" t="str">
        <f t="shared" si="627"/>
        <v>нет</v>
      </c>
      <c r="BK366" s="5" t="str">
        <f>""</f>
        <v/>
      </c>
      <c r="BL366" s="5" t="str">
        <f>""</f>
        <v/>
      </c>
      <c r="BM366" s="5" t="str">
        <f>""</f>
        <v/>
      </c>
      <c r="BN366" s="5" t="str">
        <f t="shared" si="628"/>
        <v>нет</v>
      </c>
      <c r="BO366" s="5" t="str">
        <f>""</f>
        <v/>
      </c>
      <c r="BP366" s="5" t="str">
        <f>""</f>
        <v/>
      </c>
      <c r="BQ366" s="5" t="str">
        <f>""</f>
        <v/>
      </c>
      <c r="BR366" s="5" t="str">
        <f>""</f>
        <v/>
      </c>
      <c r="BS366" s="5" t="str">
        <f>"60,00"</f>
        <v>60,00</v>
      </c>
      <c r="BT366" s="5" t="str">
        <f>"2018"</f>
        <v>2018</v>
      </c>
      <c r="BU366" s="5" t="str">
        <f t="shared" si="633"/>
        <v>нет</v>
      </c>
      <c r="BV366" s="5" t="str">
        <f t="shared" si="630"/>
        <v>x</v>
      </c>
      <c r="BW366" s="5" t="str">
        <f t="shared" si="630"/>
        <v>x</v>
      </c>
      <c r="BX366" s="5" t="str">
        <f t="shared" si="630"/>
        <v>x</v>
      </c>
      <c r="BY366" s="5" t="str">
        <f t="shared" si="605"/>
        <v>нет</v>
      </c>
      <c r="BZ366" s="5" t="str">
        <f t="shared" si="606"/>
        <v>x</v>
      </c>
      <c r="CA366" s="5" t="str">
        <f t="shared" si="606"/>
        <v>x</v>
      </c>
      <c r="CB366" s="5" t="str">
        <f t="shared" si="606"/>
        <v>x</v>
      </c>
      <c r="CC366" s="5" t="str">
        <f>""</f>
        <v/>
      </c>
      <c r="CD366" s="5" t="str">
        <f>"40,00"</f>
        <v>40,00</v>
      </c>
      <c r="CE366" s="5" t="str">
        <f>"2020"</f>
        <v>2020</v>
      </c>
      <c r="CF366" s="5" t="str">
        <f>""</f>
        <v/>
      </c>
      <c r="CG366" s="5" t="str">
        <f>"40,00"</f>
        <v>40,00</v>
      </c>
      <c r="CH366" s="5" t="str">
        <f>"2020"</f>
        <v>2020</v>
      </c>
      <c r="CI366" s="5" t="str">
        <f>"40,00"</f>
        <v>40,00</v>
      </c>
      <c r="CJ366" s="5" t="str">
        <f>"2042"</f>
        <v>2042</v>
      </c>
    </row>
    <row r="367" spans="1:88" ht="11.25" customHeight="1">
      <c r="A367" s="3" t="str">
        <f>"1.354"</f>
        <v>1.354</v>
      </c>
      <c r="B367" s="4" t="str">
        <f>"д. Слобода (Перцевское МО), ул. Школьная, д.10"</f>
        <v>д. Слобода (Перцевское МО), ул. Школьная, д.10</v>
      </c>
      <c r="C367" s="7" t="str">
        <f>"1978"</f>
        <v>1978</v>
      </c>
      <c r="D367" s="5" t="str">
        <f>""</f>
        <v/>
      </c>
      <c r="E367" s="5" t="str">
        <f>"45,00"</f>
        <v>45,00</v>
      </c>
      <c r="F367" s="5" t="str">
        <f>"2021"</f>
        <v>2021</v>
      </c>
      <c r="G367" s="5" t="str">
        <f t="shared" si="621"/>
        <v>да</v>
      </c>
      <c r="H367" s="5" t="str">
        <f>""</f>
        <v/>
      </c>
      <c r="I367" s="5" t="str">
        <f>"45,00"</f>
        <v>45,00</v>
      </c>
      <c r="J367" s="5" t="str">
        <f>"2021"</f>
        <v>2021</v>
      </c>
      <c r="K367" s="5" t="str">
        <f t="shared" si="622"/>
        <v>да</v>
      </c>
      <c r="L367" s="5" t="str">
        <f>""</f>
        <v/>
      </c>
      <c r="M367" s="5" t="str">
        <f>"45,00"</f>
        <v>45,00</v>
      </c>
      <c r="N367" s="5" t="str">
        <f>"2021"</f>
        <v>2021</v>
      </c>
      <c r="O367" s="8" t="str">
        <f>""</f>
        <v/>
      </c>
      <c r="P367" s="5" t="str">
        <f>"45,00"</f>
        <v>45,00</v>
      </c>
      <c r="Q367" s="5" t="str">
        <f>"2019"</f>
        <v>2019</v>
      </c>
      <c r="R367" s="5" t="str">
        <f t="shared" si="623"/>
        <v>нет</v>
      </c>
      <c r="S367" s="5" t="str">
        <f>""</f>
        <v/>
      </c>
      <c r="T367" s="5" t="str">
        <f>""</f>
        <v/>
      </c>
      <c r="U367" s="5" t="str">
        <f>""</f>
        <v/>
      </c>
      <c r="V367" s="5" t="str">
        <f t="shared" si="624"/>
        <v>нет</v>
      </c>
      <c r="W367" s="5" t="str">
        <f>""</f>
        <v/>
      </c>
      <c r="X367" s="5" t="str">
        <f>""</f>
        <v/>
      </c>
      <c r="Y367" s="9" t="str">
        <f>""</f>
        <v/>
      </c>
      <c r="Z367" s="5" t="str">
        <f>""</f>
        <v/>
      </c>
      <c r="AA367" s="5" t="str">
        <f>"40,00"</f>
        <v>40,00</v>
      </c>
      <c r="AB367" s="5" t="str">
        <f>"2020"</f>
        <v>2020</v>
      </c>
      <c r="AC367" s="5" t="str">
        <f t="shared" si="611"/>
        <v>нет</v>
      </c>
      <c r="AD367" s="5" t="str">
        <f>""</f>
        <v/>
      </c>
      <c r="AE367" s="5" t="str">
        <f>""</f>
        <v/>
      </c>
      <c r="AF367" s="5" t="str">
        <f>""</f>
        <v/>
      </c>
      <c r="AG367" s="5" t="str">
        <f t="shared" si="612"/>
        <v>нет</v>
      </c>
      <c r="AH367" s="5" t="str">
        <f>""</f>
        <v/>
      </c>
      <c r="AI367" s="5" t="str">
        <f>""</f>
        <v/>
      </c>
      <c r="AJ367" s="5" t="str">
        <f>""</f>
        <v/>
      </c>
      <c r="AK367" s="8" t="str">
        <f>""</f>
        <v/>
      </c>
      <c r="AL367" s="5" t="str">
        <f>"40,00"</f>
        <v>40,00</v>
      </c>
      <c r="AM367" s="5" t="str">
        <f>"2022"</f>
        <v>2022</v>
      </c>
      <c r="AN367" s="5" t="str">
        <f t="shared" si="625"/>
        <v>нет</v>
      </c>
      <c r="AO367" s="5" t="str">
        <f>""</f>
        <v/>
      </c>
      <c r="AP367" s="5" t="str">
        <f>""</f>
        <v/>
      </c>
      <c r="AQ367" s="5" t="str">
        <f>""</f>
        <v/>
      </c>
      <c r="AR367" s="5" t="str">
        <f t="shared" si="626"/>
        <v>нет</v>
      </c>
      <c r="AS367" s="5" t="str">
        <f>""</f>
        <v/>
      </c>
      <c r="AT367" s="5" t="str">
        <f>""</f>
        <v/>
      </c>
      <c r="AU367" s="5" t="str">
        <f>""</f>
        <v/>
      </c>
      <c r="AV367" s="5" t="str">
        <f t="shared" ref="AV367:BF367" si="634">"х"</f>
        <v>х</v>
      </c>
      <c r="AW367" s="5" t="str">
        <f t="shared" si="634"/>
        <v>х</v>
      </c>
      <c r="AX367" s="5" t="str">
        <f t="shared" si="634"/>
        <v>х</v>
      </c>
      <c r="AY367" s="5" t="str">
        <f t="shared" si="634"/>
        <v>х</v>
      </c>
      <c r="AZ367" s="5" t="str">
        <f t="shared" si="634"/>
        <v>х</v>
      </c>
      <c r="BA367" s="5" t="str">
        <f t="shared" si="634"/>
        <v>х</v>
      </c>
      <c r="BB367" s="5" t="str">
        <f t="shared" si="634"/>
        <v>х</v>
      </c>
      <c r="BC367" s="5" t="str">
        <f t="shared" si="634"/>
        <v>х</v>
      </c>
      <c r="BD367" s="5" t="str">
        <f t="shared" si="634"/>
        <v>х</v>
      </c>
      <c r="BE367" s="5" t="str">
        <f t="shared" si="634"/>
        <v>х</v>
      </c>
      <c r="BF367" s="5" t="str">
        <f t="shared" si="634"/>
        <v>х</v>
      </c>
      <c r="BG367" s="5" t="str">
        <f>""</f>
        <v/>
      </c>
      <c r="BH367" s="5" t="str">
        <f>"50,00"</f>
        <v>50,00</v>
      </c>
      <c r="BI367" s="5" t="str">
        <f>"2020"</f>
        <v>2020</v>
      </c>
      <c r="BJ367" s="5" t="str">
        <f t="shared" si="627"/>
        <v>нет</v>
      </c>
      <c r="BK367" s="5" t="str">
        <f>""</f>
        <v/>
      </c>
      <c r="BL367" s="5" t="str">
        <f>""</f>
        <v/>
      </c>
      <c r="BM367" s="5" t="str">
        <f>""</f>
        <v/>
      </c>
      <c r="BN367" s="5" t="str">
        <f t="shared" si="628"/>
        <v>нет</v>
      </c>
      <c r="BO367" s="5" t="str">
        <f>""</f>
        <v/>
      </c>
      <c r="BP367" s="5" t="str">
        <f>""</f>
        <v/>
      </c>
      <c r="BQ367" s="5" t="str">
        <f>""</f>
        <v/>
      </c>
      <c r="BR367" s="5" t="str">
        <f>""</f>
        <v/>
      </c>
      <c r="BS367" s="5" t="str">
        <f>"30,00"</f>
        <v>30,00</v>
      </c>
      <c r="BT367" s="5" t="str">
        <f>"2021"</f>
        <v>2021</v>
      </c>
      <c r="BU367" s="5" t="str">
        <f t="shared" si="633"/>
        <v>нет</v>
      </c>
      <c r="BV367" s="5" t="str">
        <f t="shared" si="630"/>
        <v>x</v>
      </c>
      <c r="BW367" s="5" t="str">
        <f t="shared" si="630"/>
        <v>x</v>
      </c>
      <c r="BX367" s="5" t="str">
        <f t="shared" si="630"/>
        <v>x</v>
      </c>
      <c r="BY367" s="5" t="str">
        <f t="shared" si="605"/>
        <v>нет</v>
      </c>
      <c r="BZ367" s="5" t="str">
        <f t="shared" si="606"/>
        <v>x</v>
      </c>
      <c r="CA367" s="5" t="str">
        <f t="shared" si="606"/>
        <v>x</v>
      </c>
      <c r="CB367" s="5" t="str">
        <f t="shared" si="606"/>
        <v>x</v>
      </c>
      <c r="CC367" s="5" t="str">
        <f>""</f>
        <v/>
      </c>
      <c r="CD367" s="5" t="str">
        <f>"50,00"</f>
        <v>50,00</v>
      </c>
      <c r="CE367" s="5" t="str">
        <f>"2023"</f>
        <v>2023</v>
      </c>
      <c r="CF367" s="5" t="str">
        <f>""</f>
        <v/>
      </c>
      <c r="CG367" s="5" t="str">
        <f>"50,00"</f>
        <v>50,00</v>
      </c>
      <c r="CH367" s="5" t="str">
        <f>"2022"</f>
        <v>2022</v>
      </c>
      <c r="CI367" s="5" t="str">
        <f>"40,00"</f>
        <v>40,00</v>
      </c>
      <c r="CJ367" s="5" t="str">
        <f>"2040"</f>
        <v>2040</v>
      </c>
    </row>
    <row r="368" spans="1:88" ht="11.25" customHeight="1">
      <c r="A368" s="3" t="str">
        <f>"1.355"</f>
        <v>1.355</v>
      </c>
      <c r="B368" s="4" t="str">
        <f>"д. Слобода (Перцевское МО), ул. Школьная, д.11"</f>
        <v>д. Слобода (Перцевское МО), ул. Школьная, д.11</v>
      </c>
      <c r="C368" s="7" t="str">
        <f>"1978"</f>
        <v>1978</v>
      </c>
      <c r="D368" s="5" t="str">
        <f>""</f>
        <v/>
      </c>
      <c r="E368" s="5" t="str">
        <f>"45,00"</f>
        <v>45,00</v>
      </c>
      <c r="F368" s="5" t="str">
        <f>"2022"</f>
        <v>2022</v>
      </c>
      <c r="G368" s="5" t="str">
        <f t="shared" si="621"/>
        <v>да</v>
      </c>
      <c r="H368" s="5" t="str">
        <f>""</f>
        <v/>
      </c>
      <c r="I368" s="5" t="str">
        <f>"45,00"</f>
        <v>45,00</v>
      </c>
      <c r="J368" s="5" t="str">
        <f>"2022"</f>
        <v>2022</v>
      </c>
      <c r="K368" s="5" t="str">
        <f t="shared" si="622"/>
        <v>да</v>
      </c>
      <c r="L368" s="5" t="str">
        <f>""</f>
        <v/>
      </c>
      <c r="M368" s="5" t="str">
        <f>"45,00"</f>
        <v>45,00</v>
      </c>
      <c r="N368" s="5" t="str">
        <f>"2022"</f>
        <v>2022</v>
      </c>
      <c r="O368" s="8" t="str">
        <f>""</f>
        <v/>
      </c>
      <c r="P368" s="5" t="str">
        <f>"45,00"</f>
        <v>45,00</v>
      </c>
      <c r="Q368" s="5" t="str">
        <f>"2024"</f>
        <v>2024</v>
      </c>
      <c r="R368" s="5" t="str">
        <f t="shared" si="623"/>
        <v>нет</v>
      </c>
      <c r="S368" s="5" t="str">
        <f>""</f>
        <v/>
      </c>
      <c r="T368" s="5" t="str">
        <f>""</f>
        <v/>
      </c>
      <c r="U368" s="5" t="str">
        <f>""</f>
        <v/>
      </c>
      <c r="V368" s="5" t="str">
        <f t="shared" si="624"/>
        <v>нет</v>
      </c>
      <c r="W368" s="5" t="str">
        <f>""</f>
        <v/>
      </c>
      <c r="X368" s="5" t="str">
        <f>""</f>
        <v/>
      </c>
      <c r="Y368" s="9" t="str">
        <f>""</f>
        <v/>
      </c>
      <c r="Z368" s="5" t="str">
        <f>""</f>
        <v/>
      </c>
      <c r="AA368" s="5" t="str">
        <f>"40,00"</f>
        <v>40,00</v>
      </c>
      <c r="AB368" s="5" t="str">
        <f>"2025"</f>
        <v>2025</v>
      </c>
      <c r="AC368" s="5" t="str">
        <f t="shared" si="611"/>
        <v>нет</v>
      </c>
      <c r="AD368" s="5" t="str">
        <f>""</f>
        <v/>
      </c>
      <c r="AE368" s="5" t="str">
        <f>""</f>
        <v/>
      </c>
      <c r="AF368" s="5" t="str">
        <f>""</f>
        <v/>
      </c>
      <c r="AG368" s="5" t="str">
        <f t="shared" si="612"/>
        <v>нет</v>
      </c>
      <c r="AH368" s="5" t="str">
        <f>""</f>
        <v/>
      </c>
      <c r="AI368" s="5" t="str">
        <f>""</f>
        <v/>
      </c>
      <c r="AJ368" s="5" t="str">
        <f>""</f>
        <v/>
      </c>
      <c r="AK368" s="8" t="str">
        <f>""</f>
        <v/>
      </c>
      <c r="AL368" s="5" t="str">
        <f>"40,00"</f>
        <v>40,00</v>
      </c>
      <c r="AM368" s="5" t="str">
        <f>"2025"</f>
        <v>2025</v>
      </c>
      <c r="AN368" s="5" t="str">
        <f t="shared" si="625"/>
        <v>нет</v>
      </c>
      <c r="AO368" s="5" t="str">
        <f>""</f>
        <v/>
      </c>
      <c r="AP368" s="5" t="str">
        <f>""</f>
        <v/>
      </c>
      <c r="AQ368" s="5" t="str">
        <f>""</f>
        <v/>
      </c>
      <c r="AR368" s="5" t="str">
        <f t="shared" si="626"/>
        <v>нет</v>
      </c>
      <c r="AS368" s="5" t="str">
        <f>""</f>
        <v/>
      </c>
      <c r="AT368" s="5" t="str">
        <f>""</f>
        <v/>
      </c>
      <c r="AU368" s="5" t="str">
        <f>""</f>
        <v/>
      </c>
      <c r="AV368" s="5" t="str">
        <f>""</f>
        <v/>
      </c>
      <c r="AW368" s="5" t="str">
        <f>"40,00"</f>
        <v>40,00</v>
      </c>
      <c r="AX368" s="5" t="str">
        <f>"2025"</f>
        <v>2025</v>
      </c>
      <c r="AY368" s="5" t="str">
        <f>"нет"</f>
        <v>нет</v>
      </c>
      <c r="AZ368" s="5" t="str">
        <f>""</f>
        <v/>
      </c>
      <c r="BA368" s="5" t="str">
        <f>""</f>
        <v/>
      </c>
      <c r="BB368" s="5" t="str">
        <f>""</f>
        <v/>
      </c>
      <c r="BC368" s="5" t="str">
        <f>"нет"</f>
        <v>нет</v>
      </c>
      <c r="BD368" s="5" t="str">
        <f>""</f>
        <v/>
      </c>
      <c r="BE368" s="5" t="str">
        <f>""</f>
        <v/>
      </c>
      <c r="BF368" s="5" t="str">
        <f>""</f>
        <v/>
      </c>
      <c r="BG368" s="5" t="str">
        <f>""</f>
        <v/>
      </c>
      <c r="BH368" s="5" t="str">
        <f>"40,00"</f>
        <v>40,00</v>
      </c>
      <c r="BI368" s="5" t="str">
        <f>"2022"</f>
        <v>2022</v>
      </c>
      <c r="BJ368" s="5" t="str">
        <f t="shared" si="627"/>
        <v>нет</v>
      </c>
      <c r="BK368" s="5" t="str">
        <f>""</f>
        <v/>
      </c>
      <c r="BL368" s="5" t="str">
        <f>""</f>
        <v/>
      </c>
      <c r="BM368" s="5" t="str">
        <f>""</f>
        <v/>
      </c>
      <c r="BN368" s="5" t="str">
        <f t="shared" si="628"/>
        <v>нет</v>
      </c>
      <c r="BO368" s="5" t="str">
        <f>""</f>
        <v/>
      </c>
      <c r="BP368" s="5" t="str">
        <f>""</f>
        <v/>
      </c>
      <c r="BQ368" s="5" t="str">
        <f>""</f>
        <v/>
      </c>
      <c r="BR368" s="5" t="str">
        <f>""</f>
        <v/>
      </c>
      <c r="BS368" s="5" t="str">
        <f>"70,00"</f>
        <v>70,00</v>
      </c>
      <c r="BT368" s="5" t="str">
        <f>"2016"</f>
        <v>2016</v>
      </c>
      <c r="BU368" s="5" t="str">
        <f t="shared" si="633"/>
        <v>нет</v>
      </c>
      <c r="BV368" s="5" t="str">
        <f t="shared" si="630"/>
        <v>x</v>
      </c>
      <c r="BW368" s="5" t="str">
        <f t="shared" si="630"/>
        <v>x</v>
      </c>
      <c r="BX368" s="5" t="str">
        <f t="shared" si="630"/>
        <v>x</v>
      </c>
      <c r="BY368" s="5" t="str">
        <f t="shared" si="605"/>
        <v>нет</v>
      </c>
      <c r="BZ368" s="5" t="str">
        <f t="shared" si="606"/>
        <v>x</v>
      </c>
      <c r="CA368" s="5" t="str">
        <f t="shared" si="606"/>
        <v>x</v>
      </c>
      <c r="CB368" s="5" t="str">
        <f t="shared" si="606"/>
        <v>x</v>
      </c>
      <c r="CC368" s="5" t="str">
        <f>""</f>
        <v/>
      </c>
      <c r="CD368" s="5" t="str">
        <f>"40,00"</f>
        <v>40,00</v>
      </c>
      <c r="CE368" s="5" t="str">
        <f>"2023"</f>
        <v>2023</v>
      </c>
      <c r="CF368" s="5" t="str">
        <f>""</f>
        <v/>
      </c>
      <c r="CG368" s="5" t="str">
        <f>"40,00"</f>
        <v>40,00</v>
      </c>
      <c r="CH368" s="5" t="str">
        <f>"2024"</f>
        <v>2024</v>
      </c>
      <c r="CI368" s="5" t="str">
        <f>"40,00"</f>
        <v>40,00</v>
      </c>
      <c r="CJ368" s="5" t="str">
        <f>"2041"</f>
        <v>2041</v>
      </c>
    </row>
    <row r="369" spans="1:88" ht="11.25" customHeight="1">
      <c r="A369" s="3" t="str">
        <f>"1.356"</f>
        <v>1.356</v>
      </c>
      <c r="B369" s="4" t="str">
        <f>"д. Слобода (Перцевское МО), ул. Школьная, д.12"</f>
        <v>д. Слобода (Перцевское МО), ул. Школьная, д.12</v>
      </c>
      <c r="C369" s="7" t="str">
        <f>"1982"</f>
        <v>1982</v>
      </c>
      <c r="D369" s="5" t="str">
        <f>""</f>
        <v/>
      </c>
      <c r="E369" s="5" t="str">
        <f>"50,00"</f>
        <v>50,00</v>
      </c>
      <c r="F369" s="5" t="str">
        <f>"2018"</f>
        <v>2018</v>
      </c>
      <c r="G369" s="5" t="str">
        <f t="shared" si="621"/>
        <v>да</v>
      </c>
      <c r="H369" s="5" t="str">
        <f>""</f>
        <v/>
      </c>
      <c r="I369" s="5" t="str">
        <f>"50,00"</f>
        <v>50,00</v>
      </c>
      <c r="J369" s="5" t="str">
        <f>"2018"</f>
        <v>2018</v>
      </c>
      <c r="K369" s="5" t="str">
        <f t="shared" si="622"/>
        <v>да</v>
      </c>
      <c r="L369" s="5" t="str">
        <f>""</f>
        <v/>
      </c>
      <c r="M369" s="5" t="str">
        <f>"50,00"</f>
        <v>50,00</v>
      </c>
      <c r="N369" s="5" t="str">
        <f>"2018"</f>
        <v>2018</v>
      </c>
      <c r="O369" s="8" t="str">
        <f>""</f>
        <v/>
      </c>
      <c r="P369" s="5" t="str">
        <f>"45,00"</f>
        <v>45,00</v>
      </c>
      <c r="Q369" s="5" t="str">
        <f>"2022"</f>
        <v>2022</v>
      </c>
      <c r="R369" s="5" t="str">
        <f t="shared" si="623"/>
        <v>нет</v>
      </c>
      <c r="S369" s="5" t="str">
        <f>""</f>
        <v/>
      </c>
      <c r="T369" s="5" t="str">
        <f>""</f>
        <v/>
      </c>
      <c r="U369" s="5" t="str">
        <f>""</f>
        <v/>
      </c>
      <c r="V369" s="5" t="str">
        <f t="shared" si="624"/>
        <v>нет</v>
      </c>
      <c r="W369" s="5" t="str">
        <f>""</f>
        <v/>
      </c>
      <c r="X369" s="5" t="str">
        <f>""</f>
        <v/>
      </c>
      <c r="Y369" s="9" t="str">
        <f>""</f>
        <v/>
      </c>
      <c r="Z369" s="5" t="str">
        <f>""</f>
        <v/>
      </c>
      <c r="AA369" s="5" t="str">
        <f>"35,00"</f>
        <v>35,00</v>
      </c>
      <c r="AB369" s="5" t="str">
        <f>"2020"</f>
        <v>2020</v>
      </c>
      <c r="AC369" s="5" t="str">
        <f t="shared" si="611"/>
        <v>нет</v>
      </c>
      <c r="AD369" s="5" t="str">
        <f>""</f>
        <v/>
      </c>
      <c r="AE369" s="5" t="str">
        <f>""</f>
        <v/>
      </c>
      <c r="AF369" s="5" t="str">
        <f>""</f>
        <v/>
      </c>
      <c r="AG369" s="5" t="str">
        <f t="shared" si="612"/>
        <v>нет</v>
      </c>
      <c r="AH369" s="5" t="str">
        <f>""</f>
        <v/>
      </c>
      <c r="AI369" s="5" t="str">
        <f>""</f>
        <v/>
      </c>
      <c r="AJ369" s="5" t="str">
        <f>""</f>
        <v/>
      </c>
      <c r="AK369" s="8" t="str">
        <f>""</f>
        <v/>
      </c>
      <c r="AL369" s="5" t="str">
        <f>"50,00"</f>
        <v>50,00</v>
      </c>
      <c r="AM369" s="5" t="str">
        <f>"2023"</f>
        <v>2023</v>
      </c>
      <c r="AN369" s="5" t="str">
        <f t="shared" si="625"/>
        <v>нет</v>
      </c>
      <c r="AO369" s="5" t="str">
        <f>""</f>
        <v/>
      </c>
      <c r="AP369" s="5" t="str">
        <f>""</f>
        <v/>
      </c>
      <c r="AQ369" s="5" t="str">
        <f>""</f>
        <v/>
      </c>
      <c r="AR369" s="5" t="str">
        <f t="shared" si="626"/>
        <v>нет</v>
      </c>
      <c r="AS369" s="5" t="str">
        <f>""</f>
        <v/>
      </c>
      <c r="AT369" s="5" t="str">
        <f>""</f>
        <v/>
      </c>
      <c r="AU369" s="5" t="str">
        <f>""</f>
        <v/>
      </c>
      <c r="AV369" s="5" t="str">
        <f t="shared" ref="AV369:AX370" si="635">"х"</f>
        <v>х</v>
      </c>
      <c r="AW369" s="5" t="str">
        <f t="shared" si="635"/>
        <v>х</v>
      </c>
      <c r="AX369" s="5" t="str">
        <f t="shared" si="635"/>
        <v>х</v>
      </c>
      <c r="AY369" s="5" t="str">
        <f>"нет"</f>
        <v>нет</v>
      </c>
      <c r="AZ369" s="5" t="str">
        <f t="shared" ref="AZ369:BB370" si="636">"х"</f>
        <v>х</v>
      </c>
      <c r="BA369" s="5" t="str">
        <f t="shared" si="636"/>
        <v>х</v>
      </c>
      <c r="BB369" s="5" t="str">
        <f t="shared" si="636"/>
        <v>х</v>
      </c>
      <c r="BC369" s="5" t="str">
        <f>"нет"</f>
        <v>нет</v>
      </c>
      <c r="BD369" s="5" t="str">
        <f t="shared" ref="BD369:BF370" si="637">"х"</f>
        <v>х</v>
      </c>
      <c r="BE369" s="5" t="str">
        <f t="shared" si="637"/>
        <v>х</v>
      </c>
      <c r="BF369" s="5" t="str">
        <f t="shared" si="637"/>
        <v>х</v>
      </c>
      <c r="BG369" s="5" t="str">
        <f>""</f>
        <v/>
      </c>
      <c r="BH369" s="5" t="str">
        <f>"50,00"</f>
        <v>50,00</v>
      </c>
      <c r="BI369" s="5" t="str">
        <f>"2024"</f>
        <v>2024</v>
      </c>
      <c r="BJ369" s="5" t="str">
        <f t="shared" si="627"/>
        <v>нет</v>
      </c>
      <c r="BK369" s="5" t="str">
        <f>""</f>
        <v/>
      </c>
      <c r="BL369" s="5" t="str">
        <f>""</f>
        <v/>
      </c>
      <c r="BM369" s="5" t="str">
        <f>""</f>
        <v/>
      </c>
      <c r="BN369" s="5" t="str">
        <f t="shared" si="628"/>
        <v>нет</v>
      </c>
      <c r="BO369" s="5" t="str">
        <f>""</f>
        <v/>
      </c>
      <c r="BP369" s="5" t="str">
        <f>""</f>
        <v/>
      </c>
      <c r="BQ369" s="5" t="str">
        <f>""</f>
        <v/>
      </c>
      <c r="BR369" s="5" t="str">
        <f>""</f>
        <v/>
      </c>
      <c r="BS369" s="5" t="str">
        <f>"30,00"</f>
        <v>30,00</v>
      </c>
      <c r="BT369" s="5" t="str">
        <f>"2019"</f>
        <v>2019</v>
      </c>
      <c r="BU369" s="5" t="str">
        <f t="shared" si="633"/>
        <v>нет</v>
      </c>
      <c r="BV369" s="5" t="str">
        <f t="shared" si="630"/>
        <v>x</v>
      </c>
      <c r="BW369" s="5" t="str">
        <f t="shared" si="630"/>
        <v>x</v>
      </c>
      <c r="BX369" s="5" t="str">
        <f t="shared" si="630"/>
        <v>x</v>
      </c>
      <c r="BY369" s="5" t="str">
        <f t="shared" si="605"/>
        <v>нет</v>
      </c>
      <c r="BZ369" s="5" t="str">
        <f t="shared" si="606"/>
        <v>x</v>
      </c>
      <c r="CA369" s="5" t="str">
        <f t="shared" si="606"/>
        <v>x</v>
      </c>
      <c r="CB369" s="5" t="str">
        <f t="shared" si="606"/>
        <v>x</v>
      </c>
      <c r="CC369" s="5" t="str">
        <f>""</f>
        <v/>
      </c>
      <c r="CD369" s="5" t="str">
        <f>"45,00"</f>
        <v>45,00</v>
      </c>
      <c r="CE369" s="5" t="str">
        <f>"2021"</f>
        <v>2021</v>
      </c>
      <c r="CF369" s="5" t="str">
        <f>""</f>
        <v/>
      </c>
      <c r="CG369" s="5" t="str">
        <f>"45,00"</f>
        <v>45,00</v>
      </c>
      <c r="CH369" s="5" t="str">
        <f>"2022"</f>
        <v>2022</v>
      </c>
      <c r="CI369" s="5" t="str">
        <f t="shared" ref="CI369:CI374" si="638">"30,00"</f>
        <v>30,00</v>
      </c>
      <c r="CJ369" s="5" t="str">
        <f>"2040"</f>
        <v>2040</v>
      </c>
    </row>
    <row r="370" spans="1:88" ht="11.25" customHeight="1">
      <c r="A370" s="3" t="str">
        <f>"1.357"</f>
        <v>1.357</v>
      </c>
      <c r="B370" s="4" t="str">
        <f>"д. Слобода (Перцевское МО), ул. Школьная, д.14"</f>
        <v>д. Слобода (Перцевское МО), ул. Школьная, д.14</v>
      </c>
      <c r="C370" s="7" t="str">
        <f>"1983"</f>
        <v>1983</v>
      </c>
      <c r="D370" s="5" t="str">
        <f>""</f>
        <v/>
      </c>
      <c r="E370" s="5" t="str">
        <f>"55,00"</f>
        <v>55,00</v>
      </c>
      <c r="F370" s="5" t="str">
        <f>"2021"</f>
        <v>2021</v>
      </c>
      <c r="G370" s="5" t="str">
        <f t="shared" si="621"/>
        <v>да</v>
      </c>
      <c r="H370" s="5" t="str">
        <f>""</f>
        <v/>
      </c>
      <c r="I370" s="5" t="str">
        <f>"50,00"</f>
        <v>50,00</v>
      </c>
      <c r="J370" s="5" t="str">
        <f>"2021"</f>
        <v>2021</v>
      </c>
      <c r="K370" s="5" t="str">
        <f t="shared" si="622"/>
        <v>да</v>
      </c>
      <c r="L370" s="5" t="str">
        <f>""</f>
        <v/>
      </c>
      <c r="M370" s="5" t="str">
        <f>"50,00"</f>
        <v>50,00</v>
      </c>
      <c r="N370" s="5" t="str">
        <f>"2021"</f>
        <v>2021</v>
      </c>
      <c r="O370" s="8" t="str">
        <f>""</f>
        <v/>
      </c>
      <c r="P370" s="5" t="str">
        <f>"50,00"</f>
        <v>50,00</v>
      </c>
      <c r="Q370" s="5" t="str">
        <f>"2022"</f>
        <v>2022</v>
      </c>
      <c r="R370" s="5" t="str">
        <f t="shared" si="623"/>
        <v>нет</v>
      </c>
      <c r="S370" s="5" t="str">
        <f>""</f>
        <v/>
      </c>
      <c r="T370" s="5" t="str">
        <f>""</f>
        <v/>
      </c>
      <c r="U370" s="5" t="str">
        <f>""</f>
        <v/>
      </c>
      <c r="V370" s="5" t="str">
        <f t="shared" si="624"/>
        <v>нет</v>
      </c>
      <c r="W370" s="5" t="str">
        <f>""</f>
        <v/>
      </c>
      <c r="X370" s="5" t="str">
        <f>""</f>
        <v/>
      </c>
      <c r="Y370" s="9" t="str">
        <f>""</f>
        <v/>
      </c>
      <c r="Z370" s="5" t="str">
        <f>""</f>
        <v/>
      </c>
      <c r="AA370" s="5" t="str">
        <f>"40,00"</f>
        <v>40,00</v>
      </c>
      <c r="AB370" s="5" t="str">
        <f>"2027"</f>
        <v>2027</v>
      </c>
      <c r="AC370" s="5" t="str">
        <f t="shared" si="611"/>
        <v>нет</v>
      </c>
      <c r="AD370" s="5" t="str">
        <f>""</f>
        <v/>
      </c>
      <c r="AE370" s="5" t="str">
        <f>""</f>
        <v/>
      </c>
      <c r="AF370" s="5" t="str">
        <f>""</f>
        <v/>
      </c>
      <c r="AG370" s="5" t="str">
        <f t="shared" si="612"/>
        <v>нет</v>
      </c>
      <c r="AH370" s="5" t="str">
        <f>""</f>
        <v/>
      </c>
      <c r="AI370" s="5" t="str">
        <f>""</f>
        <v/>
      </c>
      <c r="AJ370" s="5" t="str">
        <f>""</f>
        <v/>
      </c>
      <c r="AK370" s="8" t="str">
        <f>""</f>
        <v/>
      </c>
      <c r="AL370" s="5" t="str">
        <f>"50,00"</f>
        <v>50,00</v>
      </c>
      <c r="AM370" s="5" t="str">
        <f>"2019"</f>
        <v>2019</v>
      </c>
      <c r="AN370" s="5" t="str">
        <f t="shared" si="625"/>
        <v>нет</v>
      </c>
      <c r="AO370" s="5" t="str">
        <f>""</f>
        <v/>
      </c>
      <c r="AP370" s="5" t="str">
        <f>""</f>
        <v/>
      </c>
      <c r="AQ370" s="5" t="str">
        <f>""</f>
        <v/>
      </c>
      <c r="AR370" s="5" t="str">
        <f t="shared" si="626"/>
        <v>нет</v>
      </c>
      <c r="AS370" s="5" t="str">
        <f>""</f>
        <v/>
      </c>
      <c r="AT370" s="5" t="str">
        <f>""</f>
        <v/>
      </c>
      <c r="AU370" s="5" t="str">
        <f>""</f>
        <v/>
      </c>
      <c r="AV370" s="5" t="str">
        <f t="shared" si="635"/>
        <v>х</v>
      </c>
      <c r="AW370" s="5" t="str">
        <f t="shared" si="635"/>
        <v>х</v>
      </c>
      <c r="AX370" s="5" t="str">
        <f t="shared" si="635"/>
        <v>х</v>
      </c>
      <c r="AY370" s="5" t="str">
        <f>"х"</f>
        <v>х</v>
      </c>
      <c r="AZ370" s="5" t="str">
        <f t="shared" si="636"/>
        <v>х</v>
      </c>
      <c r="BA370" s="5" t="str">
        <f t="shared" si="636"/>
        <v>х</v>
      </c>
      <c r="BB370" s="5" t="str">
        <f t="shared" si="636"/>
        <v>х</v>
      </c>
      <c r="BC370" s="5" t="str">
        <f>"х"</f>
        <v>х</v>
      </c>
      <c r="BD370" s="5" t="str">
        <f t="shared" si="637"/>
        <v>х</v>
      </c>
      <c r="BE370" s="5" t="str">
        <f t="shared" si="637"/>
        <v>х</v>
      </c>
      <c r="BF370" s="5" t="str">
        <f t="shared" si="637"/>
        <v>х</v>
      </c>
      <c r="BG370" s="5" t="str">
        <f>""</f>
        <v/>
      </c>
      <c r="BH370" s="5" t="str">
        <f>"55,00"</f>
        <v>55,00</v>
      </c>
      <c r="BI370" s="5" t="str">
        <f>"2019"</f>
        <v>2019</v>
      </c>
      <c r="BJ370" s="5" t="str">
        <f t="shared" si="627"/>
        <v>нет</v>
      </c>
      <c r="BK370" s="5" t="str">
        <f>""</f>
        <v/>
      </c>
      <c r="BL370" s="5" t="str">
        <f>""</f>
        <v/>
      </c>
      <c r="BM370" s="5" t="str">
        <f>""</f>
        <v/>
      </c>
      <c r="BN370" s="5" t="str">
        <f t="shared" si="628"/>
        <v>нет</v>
      </c>
      <c r="BO370" s="5" t="str">
        <f>""</f>
        <v/>
      </c>
      <c r="BP370" s="5" t="str">
        <f>""</f>
        <v/>
      </c>
      <c r="BQ370" s="5" t="str">
        <f>""</f>
        <v/>
      </c>
      <c r="BR370" s="5" t="str">
        <f>"2012"</f>
        <v>2012</v>
      </c>
      <c r="BS370" s="5" t="str">
        <f>"10,00"</f>
        <v>10,00</v>
      </c>
      <c r="BT370" s="5" t="str">
        <f>"2030"</f>
        <v>2030</v>
      </c>
      <c r="BU370" s="5" t="str">
        <f t="shared" si="633"/>
        <v>нет</v>
      </c>
      <c r="BV370" s="5" t="str">
        <f t="shared" si="630"/>
        <v>x</v>
      </c>
      <c r="BW370" s="5" t="str">
        <f t="shared" si="630"/>
        <v>x</v>
      </c>
      <c r="BX370" s="5" t="str">
        <f t="shared" si="630"/>
        <v>x</v>
      </c>
      <c r="BY370" s="5" t="str">
        <f t="shared" si="605"/>
        <v>нет</v>
      </c>
      <c r="BZ370" s="5" t="str">
        <f t="shared" si="606"/>
        <v>x</v>
      </c>
      <c r="CA370" s="5" t="str">
        <f t="shared" si="606"/>
        <v>x</v>
      </c>
      <c r="CB370" s="5" t="str">
        <f t="shared" si="606"/>
        <v>x</v>
      </c>
      <c r="CC370" s="5" t="str">
        <f>""</f>
        <v/>
      </c>
      <c r="CD370" s="5" t="str">
        <f>"45,00"</f>
        <v>45,00</v>
      </c>
      <c r="CE370" s="5" t="str">
        <f>"2022"</f>
        <v>2022</v>
      </c>
      <c r="CF370" s="5" t="str">
        <f>""</f>
        <v/>
      </c>
      <c r="CG370" s="5" t="str">
        <f>"45,00"</f>
        <v>45,00</v>
      </c>
      <c r="CH370" s="5" t="str">
        <f>"2023"</f>
        <v>2023</v>
      </c>
      <c r="CI370" s="5" t="str">
        <f t="shared" si="638"/>
        <v>30,00</v>
      </c>
      <c r="CJ370" s="5" t="str">
        <f>"2043"</f>
        <v>2043</v>
      </c>
    </row>
    <row r="371" spans="1:88" ht="11.25" customHeight="1">
      <c r="A371" s="3" t="str">
        <f>"1.358"</f>
        <v>1.358</v>
      </c>
      <c r="B371" s="4" t="str">
        <f>"д. Слобода (Перцевское МО), ул. Школьная, д.20"</f>
        <v>д. Слобода (Перцевское МО), ул. Школьная, д.20</v>
      </c>
      <c r="C371" s="7" t="str">
        <f>"1985"</f>
        <v>1985</v>
      </c>
      <c r="D371" s="5" t="str">
        <f>""</f>
        <v/>
      </c>
      <c r="E371" s="5" t="str">
        <f>"30,00"</f>
        <v>30,00</v>
      </c>
      <c r="F371" s="5" t="str">
        <f>"2028"</f>
        <v>2028</v>
      </c>
      <c r="G371" s="5" t="str">
        <f t="shared" si="621"/>
        <v>да</v>
      </c>
      <c r="H371" s="5" t="str">
        <f>""</f>
        <v/>
      </c>
      <c r="I371" s="5" t="str">
        <f>"30,00"</f>
        <v>30,00</v>
      </c>
      <c r="J371" s="5" t="str">
        <f>"2028"</f>
        <v>2028</v>
      </c>
      <c r="K371" s="5" t="str">
        <f t="shared" si="622"/>
        <v>да</v>
      </c>
      <c r="L371" s="5" t="str">
        <f>""</f>
        <v/>
      </c>
      <c r="M371" s="5" t="str">
        <f>"30,00"</f>
        <v>30,00</v>
      </c>
      <c r="N371" s="5" t="str">
        <f>"2028"</f>
        <v>2028</v>
      </c>
      <c r="O371" s="8" t="str">
        <f>""</f>
        <v/>
      </c>
      <c r="P371" s="5" t="str">
        <f>"30,00"</f>
        <v>30,00</v>
      </c>
      <c r="Q371" s="5" t="str">
        <f>"2027"</f>
        <v>2027</v>
      </c>
      <c r="R371" s="5" t="str">
        <f t="shared" si="623"/>
        <v>нет</v>
      </c>
      <c r="S371" s="5" t="str">
        <f>""</f>
        <v/>
      </c>
      <c r="T371" s="5" t="str">
        <f>""</f>
        <v/>
      </c>
      <c r="U371" s="5" t="str">
        <f>""</f>
        <v/>
      </c>
      <c r="V371" s="5" t="str">
        <f t="shared" si="624"/>
        <v>нет</v>
      </c>
      <c r="W371" s="5" t="str">
        <f>""</f>
        <v/>
      </c>
      <c r="X371" s="5" t="str">
        <f>""</f>
        <v/>
      </c>
      <c r="Y371" s="9" t="str">
        <f>""</f>
        <v/>
      </c>
      <c r="Z371" s="5" t="str">
        <f>"х"</f>
        <v>х</v>
      </c>
      <c r="AA371" s="5" t="str">
        <f>"25,00"</f>
        <v>25,00</v>
      </c>
      <c r="AB371" s="5" t="str">
        <f>"2030"</f>
        <v>2030</v>
      </c>
      <c r="AC371" s="5" t="str">
        <f t="shared" si="611"/>
        <v>нет</v>
      </c>
      <c r="AD371" s="5" t="str">
        <f t="shared" ref="AD371:AF372" si="639">"х"</f>
        <v>х</v>
      </c>
      <c r="AE371" s="5" t="str">
        <f t="shared" si="639"/>
        <v>х</v>
      </c>
      <c r="AF371" s="5" t="str">
        <f t="shared" si="639"/>
        <v>х</v>
      </c>
      <c r="AG371" s="5" t="str">
        <f t="shared" si="612"/>
        <v>нет</v>
      </c>
      <c r="AH371" s="5" t="str">
        <f t="shared" ref="AH371:AJ372" si="640">"х"</f>
        <v>х</v>
      </c>
      <c r="AI371" s="5" t="str">
        <f t="shared" si="640"/>
        <v>х</v>
      </c>
      <c r="AJ371" s="5" t="str">
        <f t="shared" si="640"/>
        <v>х</v>
      </c>
      <c r="AK371" s="8" t="str">
        <f>""</f>
        <v/>
      </c>
      <c r="AL371" s="5" t="str">
        <f>"35,00"</f>
        <v>35,00</v>
      </c>
      <c r="AM371" s="5" t="str">
        <f>"2026"</f>
        <v>2026</v>
      </c>
      <c r="AN371" s="5" t="str">
        <f t="shared" si="625"/>
        <v>нет</v>
      </c>
      <c r="AO371" s="5" t="str">
        <f>""</f>
        <v/>
      </c>
      <c r="AP371" s="5" t="str">
        <f>""</f>
        <v/>
      </c>
      <c r="AQ371" s="5" t="str">
        <f>""</f>
        <v/>
      </c>
      <c r="AR371" s="5" t="str">
        <f t="shared" si="626"/>
        <v>нет</v>
      </c>
      <c r="AS371" s="5" t="str">
        <f>""</f>
        <v/>
      </c>
      <c r="AT371" s="5" t="str">
        <f>""</f>
        <v/>
      </c>
      <c r="AU371" s="5" t="str">
        <f>""</f>
        <v/>
      </c>
      <c r="AV371" s="5" t="str">
        <f>""</f>
        <v/>
      </c>
      <c r="AW371" s="5" t="str">
        <f>"35,00"</f>
        <v>35,00</v>
      </c>
      <c r="AX371" s="5" t="str">
        <f>"2026"</f>
        <v>2026</v>
      </c>
      <c r="AY371" s="5" t="str">
        <f t="shared" ref="AY371:AY380" si="641">"нет"</f>
        <v>нет</v>
      </c>
      <c r="AZ371" s="5" t="str">
        <f>""</f>
        <v/>
      </c>
      <c r="BA371" s="5" t="str">
        <f>""</f>
        <v/>
      </c>
      <c r="BB371" s="5" t="str">
        <f>""</f>
        <v/>
      </c>
      <c r="BC371" s="5" t="str">
        <f t="shared" ref="BC371:BC380" si="642">"нет"</f>
        <v>нет</v>
      </c>
      <c r="BD371" s="5" t="str">
        <f>""</f>
        <v/>
      </c>
      <c r="BE371" s="5" t="str">
        <f>""</f>
        <v/>
      </c>
      <c r="BF371" s="5" t="str">
        <f>""</f>
        <v/>
      </c>
      <c r="BG371" s="5" t="str">
        <f>""</f>
        <v/>
      </c>
      <c r="BH371" s="5" t="str">
        <f>"40,00"</f>
        <v>40,00</v>
      </c>
      <c r="BI371" s="5" t="str">
        <f>"2025"</f>
        <v>2025</v>
      </c>
      <c r="BJ371" s="5" t="str">
        <f t="shared" si="627"/>
        <v>нет</v>
      </c>
      <c r="BK371" s="5" t="str">
        <f>""</f>
        <v/>
      </c>
      <c r="BL371" s="5" t="str">
        <f>""</f>
        <v/>
      </c>
      <c r="BM371" s="5" t="str">
        <f>""</f>
        <v/>
      </c>
      <c r="BN371" s="5" t="str">
        <f t="shared" si="628"/>
        <v>нет</v>
      </c>
      <c r="BO371" s="5" t="str">
        <f>""</f>
        <v/>
      </c>
      <c r="BP371" s="5" t="str">
        <f>""</f>
        <v/>
      </c>
      <c r="BQ371" s="5" t="str">
        <f>""</f>
        <v/>
      </c>
      <c r="BR371" s="5" t="str">
        <f>""</f>
        <v/>
      </c>
      <c r="BS371" s="5" t="str">
        <f>"60,00"</f>
        <v>60,00</v>
      </c>
      <c r="BT371" s="5" t="str">
        <f>"2018"</f>
        <v>2018</v>
      </c>
      <c r="BU371" s="5" t="str">
        <f t="shared" si="633"/>
        <v>нет</v>
      </c>
      <c r="BV371" s="5" t="str">
        <f t="shared" si="630"/>
        <v>x</v>
      </c>
      <c r="BW371" s="5" t="str">
        <f t="shared" si="630"/>
        <v>x</v>
      </c>
      <c r="BX371" s="5" t="str">
        <f t="shared" si="630"/>
        <v>x</v>
      </c>
      <c r="BY371" s="5" t="str">
        <f t="shared" si="605"/>
        <v>нет</v>
      </c>
      <c r="BZ371" s="5" t="str">
        <f t="shared" si="606"/>
        <v>x</v>
      </c>
      <c r="CA371" s="5" t="str">
        <f t="shared" si="606"/>
        <v>x</v>
      </c>
      <c r="CB371" s="5" t="str">
        <f t="shared" si="606"/>
        <v>x</v>
      </c>
      <c r="CC371" s="5" t="str">
        <f>""</f>
        <v/>
      </c>
      <c r="CD371" s="5" t="str">
        <f>"30,00"</f>
        <v>30,00</v>
      </c>
      <c r="CE371" s="5" t="str">
        <f>"2024"</f>
        <v>2024</v>
      </c>
      <c r="CF371" s="5" t="str">
        <f>""</f>
        <v/>
      </c>
      <c r="CG371" s="5" t="str">
        <f>"30,00"</f>
        <v>30,00</v>
      </c>
      <c r="CH371" s="5" t="str">
        <f>"2024"</f>
        <v>2024</v>
      </c>
      <c r="CI371" s="5" t="str">
        <f t="shared" si="638"/>
        <v>30,00</v>
      </c>
      <c r="CJ371" s="5" t="str">
        <f>"2045"</f>
        <v>2045</v>
      </c>
    </row>
    <row r="372" spans="1:88" ht="11.25" customHeight="1">
      <c r="A372" s="3" t="str">
        <f>"1.359"</f>
        <v>1.359</v>
      </c>
      <c r="B372" s="4" t="str">
        <f>"д. Слобода (Перцевское МО), ул. Школьная, д.20 А"</f>
        <v>д. Слобода (Перцевское МО), ул. Школьная, д.20 А</v>
      </c>
      <c r="C372" s="7" t="str">
        <f>"1984"</f>
        <v>1984</v>
      </c>
      <c r="D372" s="5" t="str">
        <f>""</f>
        <v/>
      </c>
      <c r="E372" s="5" t="str">
        <f>"35,00"</f>
        <v>35,00</v>
      </c>
      <c r="F372" s="5" t="str">
        <f>"2025"</f>
        <v>2025</v>
      </c>
      <c r="G372" s="5" t="str">
        <f t="shared" si="621"/>
        <v>да</v>
      </c>
      <c r="H372" s="5" t="str">
        <f>""</f>
        <v/>
      </c>
      <c r="I372" s="5" t="str">
        <f>"35,00"</f>
        <v>35,00</v>
      </c>
      <c r="J372" s="5" t="str">
        <f>"2025"</f>
        <v>2025</v>
      </c>
      <c r="K372" s="5" t="str">
        <f t="shared" si="622"/>
        <v>да</v>
      </c>
      <c r="L372" s="5" t="str">
        <f>""</f>
        <v/>
      </c>
      <c r="M372" s="5" t="str">
        <f>"35,00"</f>
        <v>35,00</v>
      </c>
      <c r="N372" s="5" t="str">
        <f>"2025"</f>
        <v>2025</v>
      </c>
      <c r="O372" s="8" t="str">
        <f>""</f>
        <v/>
      </c>
      <c r="P372" s="5" t="str">
        <f>"35,00"</f>
        <v>35,00</v>
      </c>
      <c r="Q372" s="5" t="str">
        <f>"2026"</f>
        <v>2026</v>
      </c>
      <c r="R372" s="5" t="str">
        <f t="shared" si="623"/>
        <v>нет</v>
      </c>
      <c r="S372" s="5" t="str">
        <f>""</f>
        <v/>
      </c>
      <c r="T372" s="5" t="str">
        <f>""</f>
        <v/>
      </c>
      <c r="U372" s="5" t="str">
        <f>""</f>
        <v/>
      </c>
      <c r="V372" s="5" t="str">
        <f t="shared" si="624"/>
        <v>нет</v>
      </c>
      <c r="W372" s="5" t="str">
        <f>""</f>
        <v/>
      </c>
      <c r="X372" s="5" t="str">
        <f>""</f>
        <v/>
      </c>
      <c r="Y372" s="9" t="str">
        <f>""</f>
        <v/>
      </c>
      <c r="Z372" s="5" t="str">
        <f>"х"</f>
        <v>х</v>
      </c>
      <c r="AA372" s="5" t="str">
        <f>"х"</f>
        <v>х</v>
      </c>
      <c r="AB372" s="5" t="str">
        <f>"х"</f>
        <v>х</v>
      </c>
      <c r="AC372" s="5" t="str">
        <f>"х"</f>
        <v>х</v>
      </c>
      <c r="AD372" s="5" t="str">
        <f t="shared" si="639"/>
        <v>х</v>
      </c>
      <c r="AE372" s="5" t="str">
        <f t="shared" si="639"/>
        <v>х</v>
      </c>
      <c r="AF372" s="5" t="str">
        <f t="shared" si="639"/>
        <v>х</v>
      </c>
      <c r="AG372" s="5" t="str">
        <f>"х"</f>
        <v>х</v>
      </c>
      <c r="AH372" s="5" t="str">
        <f t="shared" si="640"/>
        <v>х</v>
      </c>
      <c r="AI372" s="5" t="str">
        <f t="shared" si="640"/>
        <v>х</v>
      </c>
      <c r="AJ372" s="5" t="str">
        <f t="shared" si="640"/>
        <v>х</v>
      </c>
      <c r="AK372" s="8" t="str">
        <f>""</f>
        <v/>
      </c>
      <c r="AL372" s="5" t="str">
        <f>"30,00"</f>
        <v>30,00</v>
      </c>
      <c r="AM372" s="5" t="str">
        <f>"2025"</f>
        <v>2025</v>
      </c>
      <c r="AN372" s="5" t="str">
        <f t="shared" si="625"/>
        <v>нет</v>
      </c>
      <c r="AO372" s="5" t="str">
        <f>""</f>
        <v/>
      </c>
      <c r="AP372" s="5" t="str">
        <f>""</f>
        <v/>
      </c>
      <c r="AQ372" s="5" t="str">
        <f>""</f>
        <v/>
      </c>
      <c r="AR372" s="5" t="str">
        <f t="shared" si="626"/>
        <v>нет</v>
      </c>
      <c r="AS372" s="5" t="str">
        <f>""</f>
        <v/>
      </c>
      <c r="AT372" s="5" t="str">
        <f>""</f>
        <v/>
      </c>
      <c r="AU372" s="5" t="str">
        <f>""</f>
        <v/>
      </c>
      <c r="AV372" s="5" t="str">
        <f>""</f>
        <v/>
      </c>
      <c r="AW372" s="5" t="str">
        <f>"30,00"</f>
        <v>30,00</v>
      </c>
      <c r="AX372" s="5" t="str">
        <f>"2025"</f>
        <v>2025</v>
      </c>
      <c r="AY372" s="5" t="str">
        <f t="shared" si="641"/>
        <v>нет</v>
      </c>
      <c r="AZ372" s="5" t="str">
        <f>""</f>
        <v/>
      </c>
      <c r="BA372" s="5" t="str">
        <f>""</f>
        <v/>
      </c>
      <c r="BB372" s="5" t="str">
        <f>""</f>
        <v/>
      </c>
      <c r="BC372" s="5" t="str">
        <f t="shared" si="642"/>
        <v>нет</v>
      </c>
      <c r="BD372" s="5" t="str">
        <f>""</f>
        <v/>
      </c>
      <c r="BE372" s="5" t="str">
        <f>""</f>
        <v/>
      </c>
      <c r="BF372" s="5" t="str">
        <f>""</f>
        <v/>
      </c>
      <c r="BG372" s="5" t="str">
        <f>""</f>
        <v/>
      </c>
      <c r="BH372" s="5" t="str">
        <f>"30,00"</f>
        <v>30,00</v>
      </c>
      <c r="BI372" s="5" t="str">
        <f>"2027"</f>
        <v>2027</v>
      </c>
      <c r="BJ372" s="5" t="str">
        <f t="shared" si="627"/>
        <v>нет</v>
      </c>
      <c r="BK372" s="5" t="str">
        <f>""</f>
        <v/>
      </c>
      <c r="BL372" s="5" t="str">
        <f>""</f>
        <v/>
      </c>
      <c r="BM372" s="5" t="str">
        <f>""</f>
        <v/>
      </c>
      <c r="BN372" s="5" t="str">
        <f t="shared" si="628"/>
        <v>нет</v>
      </c>
      <c r="BO372" s="5" t="str">
        <f>""</f>
        <v/>
      </c>
      <c r="BP372" s="5" t="str">
        <f>""</f>
        <v/>
      </c>
      <c r="BQ372" s="5" t="str">
        <f>""</f>
        <v/>
      </c>
      <c r="BR372" s="5" t="str">
        <f>""</f>
        <v/>
      </c>
      <c r="BS372" s="5" t="str">
        <f>"60,00"</f>
        <v>60,00</v>
      </c>
      <c r="BT372" s="5" t="str">
        <f>"2017"</f>
        <v>2017</v>
      </c>
      <c r="BU372" s="5" t="str">
        <f t="shared" si="633"/>
        <v>нет</v>
      </c>
      <c r="BV372" s="5" t="str">
        <f t="shared" si="630"/>
        <v>x</v>
      </c>
      <c r="BW372" s="5" t="str">
        <f t="shared" si="630"/>
        <v>x</v>
      </c>
      <c r="BX372" s="5" t="str">
        <f t="shared" si="630"/>
        <v>x</v>
      </c>
      <c r="BY372" s="5" t="str">
        <f t="shared" si="605"/>
        <v>нет</v>
      </c>
      <c r="BZ372" s="5" t="str">
        <f t="shared" si="606"/>
        <v>x</v>
      </c>
      <c r="CA372" s="5" t="str">
        <f t="shared" si="606"/>
        <v>x</v>
      </c>
      <c r="CB372" s="5" t="str">
        <f t="shared" si="606"/>
        <v>x</v>
      </c>
      <c r="CC372" s="5" t="str">
        <f>""</f>
        <v/>
      </c>
      <c r="CD372" s="5" t="str">
        <f>"35,00"</f>
        <v>35,00</v>
      </c>
      <c r="CE372" s="5" t="str">
        <f>"2030"</f>
        <v>2030</v>
      </c>
      <c r="CF372" s="5" t="str">
        <f>""</f>
        <v/>
      </c>
      <c r="CG372" s="5" t="str">
        <f>"35,00"</f>
        <v>35,00</v>
      </c>
      <c r="CH372" s="5" t="str">
        <f>"2030"</f>
        <v>2030</v>
      </c>
      <c r="CI372" s="5" t="str">
        <f t="shared" si="638"/>
        <v>30,00</v>
      </c>
      <c r="CJ372" s="5" t="str">
        <f>"2045"</f>
        <v>2045</v>
      </c>
    </row>
    <row r="373" spans="1:88" ht="11.25" customHeight="1">
      <c r="A373" s="3" t="str">
        <f>"1.360"</f>
        <v>1.360</v>
      </c>
      <c r="B373" s="4" t="str">
        <f>"д. Слобода (Перцевское МО), ул. Школьная, д.21"</f>
        <v>д. Слобода (Перцевское МО), ул. Школьная, д.21</v>
      </c>
      <c r="C373" s="7" t="str">
        <f>"1988"</f>
        <v>1988</v>
      </c>
      <c r="D373" s="5" t="str">
        <f>""</f>
        <v/>
      </c>
      <c r="E373" s="5" t="str">
        <f>"30,00"</f>
        <v>30,00</v>
      </c>
      <c r="F373" s="5" t="str">
        <f>"2027"</f>
        <v>2027</v>
      </c>
      <c r="G373" s="5" t="str">
        <f t="shared" si="621"/>
        <v>да</v>
      </c>
      <c r="H373" s="5" t="str">
        <f>""</f>
        <v/>
      </c>
      <c r="I373" s="5" t="str">
        <f>"30,00"</f>
        <v>30,00</v>
      </c>
      <c r="J373" s="5" t="str">
        <f>"2027"</f>
        <v>2027</v>
      </c>
      <c r="K373" s="5" t="str">
        <f t="shared" si="622"/>
        <v>да</v>
      </c>
      <c r="L373" s="5" t="str">
        <f>""</f>
        <v/>
      </c>
      <c r="M373" s="5" t="str">
        <f>"30,00"</f>
        <v>30,00</v>
      </c>
      <c r="N373" s="5" t="str">
        <f>"2027"</f>
        <v>2027</v>
      </c>
      <c r="O373" s="8" t="str">
        <f>""</f>
        <v/>
      </c>
      <c r="P373" s="5" t="str">
        <f>"30,00"</f>
        <v>30,00</v>
      </c>
      <c r="Q373" s="5" t="str">
        <f>"2030"</f>
        <v>2030</v>
      </c>
      <c r="R373" s="5" t="str">
        <f t="shared" si="623"/>
        <v>нет</v>
      </c>
      <c r="S373" s="5" t="str">
        <f>""</f>
        <v/>
      </c>
      <c r="T373" s="5" t="str">
        <f>""</f>
        <v/>
      </c>
      <c r="U373" s="5" t="str">
        <f>""</f>
        <v/>
      </c>
      <c r="V373" s="5" t="str">
        <f t="shared" si="624"/>
        <v>нет</v>
      </c>
      <c r="W373" s="5" t="str">
        <f>""</f>
        <v/>
      </c>
      <c r="X373" s="5" t="str">
        <f>""</f>
        <v/>
      </c>
      <c r="Y373" s="9" t="str">
        <f>""</f>
        <v/>
      </c>
      <c r="Z373" s="5" t="str">
        <f>""</f>
        <v/>
      </c>
      <c r="AA373" s="5" t="str">
        <f>"20,00"</f>
        <v>20,00</v>
      </c>
      <c r="AB373" s="5" t="str">
        <f>"2040"</f>
        <v>2040</v>
      </c>
      <c r="AC373" s="5" t="str">
        <f t="shared" ref="AC373:AC401" si="643">"нет"</f>
        <v>нет</v>
      </c>
      <c r="AD373" s="5" t="str">
        <f>""</f>
        <v/>
      </c>
      <c r="AE373" s="5" t="str">
        <f>""</f>
        <v/>
      </c>
      <c r="AF373" s="5" t="str">
        <f>""</f>
        <v/>
      </c>
      <c r="AG373" s="5" t="str">
        <f t="shared" ref="AG373:AG401" si="644">"нет"</f>
        <v>нет</v>
      </c>
      <c r="AH373" s="5" t="str">
        <f>""</f>
        <v/>
      </c>
      <c r="AI373" s="5" t="str">
        <f>""</f>
        <v/>
      </c>
      <c r="AJ373" s="5" t="str">
        <f>""</f>
        <v/>
      </c>
      <c r="AK373" s="8" t="str">
        <f>""</f>
        <v/>
      </c>
      <c r="AL373" s="5" t="str">
        <f>"30,00"</f>
        <v>30,00</v>
      </c>
      <c r="AM373" s="5" t="str">
        <f>"2028"</f>
        <v>2028</v>
      </c>
      <c r="AN373" s="5" t="str">
        <f t="shared" si="625"/>
        <v>нет</v>
      </c>
      <c r="AO373" s="5" t="str">
        <f>""</f>
        <v/>
      </c>
      <c r="AP373" s="5" t="str">
        <f>""</f>
        <v/>
      </c>
      <c r="AQ373" s="5" t="str">
        <f>""</f>
        <v/>
      </c>
      <c r="AR373" s="5" t="str">
        <f t="shared" si="626"/>
        <v>нет</v>
      </c>
      <c r="AS373" s="5" t="str">
        <f>""</f>
        <v/>
      </c>
      <c r="AT373" s="5" t="str">
        <f>""</f>
        <v/>
      </c>
      <c r="AU373" s="5" t="str">
        <f>""</f>
        <v/>
      </c>
      <c r="AV373" s="5" t="str">
        <f>""</f>
        <v/>
      </c>
      <c r="AW373" s="5" t="str">
        <f>"30,00"</f>
        <v>30,00</v>
      </c>
      <c r="AX373" s="5" t="str">
        <f>"2028"</f>
        <v>2028</v>
      </c>
      <c r="AY373" s="5" t="str">
        <f t="shared" si="641"/>
        <v>нет</v>
      </c>
      <c r="AZ373" s="5" t="str">
        <f>""</f>
        <v/>
      </c>
      <c r="BA373" s="5" t="str">
        <f>""</f>
        <v/>
      </c>
      <c r="BB373" s="5" t="str">
        <f>""</f>
        <v/>
      </c>
      <c r="BC373" s="5" t="str">
        <f t="shared" si="642"/>
        <v>нет</v>
      </c>
      <c r="BD373" s="5" t="str">
        <f>""</f>
        <v/>
      </c>
      <c r="BE373" s="5" t="str">
        <f>""</f>
        <v/>
      </c>
      <c r="BF373" s="5" t="str">
        <f>""</f>
        <v/>
      </c>
      <c r="BG373" s="5" t="str">
        <f>""</f>
        <v/>
      </c>
      <c r="BH373" s="5" t="str">
        <f>"30,00"</f>
        <v>30,00</v>
      </c>
      <c r="BI373" s="5" t="str">
        <f>"2028"</f>
        <v>2028</v>
      </c>
      <c r="BJ373" s="5" t="str">
        <f t="shared" si="627"/>
        <v>нет</v>
      </c>
      <c r="BK373" s="5" t="str">
        <f>""</f>
        <v/>
      </c>
      <c r="BL373" s="5" t="str">
        <f>""</f>
        <v/>
      </c>
      <c r="BM373" s="5" t="str">
        <f>""</f>
        <v/>
      </c>
      <c r="BN373" s="5" t="str">
        <f t="shared" si="628"/>
        <v>нет</v>
      </c>
      <c r="BO373" s="5" t="str">
        <f>""</f>
        <v/>
      </c>
      <c r="BP373" s="5" t="str">
        <f>""</f>
        <v/>
      </c>
      <c r="BQ373" s="5" t="str">
        <f>""</f>
        <v/>
      </c>
      <c r="BR373" s="5" t="str">
        <f>""</f>
        <v/>
      </c>
      <c r="BS373" s="5" t="str">
        <f>"60,00"</f>
        <v>60,00</v>
      </c>
      <c r="BT373" s="5" t="str">
        <f>"2022"</f>
        <v>2022</v>
      </c>
      <c r="BU373" s="5" t="str">
        <f t="shared" si="633"/>
        <v>нет</v>
      </c>
      <c r="BV373" s="5" t="str">
        <f t="shared" si="630"/>
        <v>x</v>
      </c>
      <c r="BW373" s="5" t="str">
        <f t="shared" si="630"/>
        <v>x</v>
      </c>
      <c r="BX373" s="5" t="str">
        <f t="shared" si="630"/>
        <v>x</v>
      </c>
      <c r="BY373" s="5" t="str">
        <f t="shared" si="605"/>
        <v>нет</v>
      </c>
      <c r="BZ373" s="5" t="str">
        <f t="shared" si="606"/>
        <v>x</v>
      </c>
      <c r="CA373" s="5" t="str">
        <f t="shared" si="606"/>
        <v>x</v>
      </c>
      <c r="CB373" s="5" t="str">
        <f t="shared" si="606"/>
        <v>x</v>
      </c>
      <c r="CC373" s="5" t="str">
        <f>""</f>
        <v/>
      </c>
      <c r="CD373" s="5" t="str">
        <f>"30,00"</f>
        <v>30,00</v>
      </c>
      <c r="CE373" s="5" t="str">
        <f>"2030"</f>
        <v>2030</v>
      </c>
      <c r="CF373" s="5" t="str">
        <f>""</f>
        <v/>
      </c>
      <c r="CG373" s="5" t="str">
        <f>"30,00"</f>
        <v>30,00</v>
      </c>
      <c r="CH373" s="5" t="str">
        <f>"2031"</f>
        <v>2031</v>
      </c>
      <c r="CI373" s="5" t="str">
        <f t="shared" si="638"/>
        <v>30,00</v>
      </c>
      <c r="CJ373" s="5" t="str">
        <f>"2041"</f>
        <v>2041</v>
      </c>
    </row>
    <row r="374" spans="1:88" ht="11.25" customHeight="1">
      <c r="A374" s="3" t="str">
        <f>"1.361"</f>
        <v>1.361</v>
      </c>
      <c r="B374" s="4" t="str">
        <f>"д. Слобода (Перцевское МО), ул. Школьная, д.27"</f>
        <v>д. Слобода (Перцевское МО), ул. Школьная, д.27</v>
      </c>
      <c r="C374" s="7" t="str">
        <f>"1996"</f>
        <v>1996</v>
      </c>
      <c r="D374" s="5" t="str">
        <f>""</f>
        <v/>
      </c>
      <c r="E374" s="5" t="str">
        <f>"30,00"</f>
        <v>30,00</v>
      </c>
      <c r="F374" s="5" t="str">
        <f>"2029"</f>
        <v>2029</v>
      </c>
      <c r="G374" s="5" t="str">
        <f t="shared" si="621"/>
        <v>да</v>
      </c>
      <c r="H374" s="5" t="str">
        <f>""</f>
        <v/>
      </c>
      <c r="I374" s="5" t="str">
        <f>"30,00"</f>
        <v>30,00</v>
      </c>
      <c r="J374" s="5" t="str">
        <f>"2029"</f>
        <v>2029</v>
      </c>
      <c r="K374" s="5" t="str">
        <f t="shared" si="622"/>
        <v>да</v>
      </c>
      <c r="L374" s="5" t="str">
        <f>""</f>
        <v/>
      </c>
      <c r="M374" s="5" t="str">
        <f>"30,00"</f>
        <v>30,00</v>
      </c>
      <c r="N374" s="5" t="str">
        <f>"2029"</f>
        <v>2029</v>
      </c>
      <c r="O374" s="8" t="str">
        <f>""</f>
        <v/>
      </c>
      <c r="P374" s="5" t="str">
        <f>"30,00"</f>
        <v>30,00</v>
      </c>
      <c r="Q374" s="5" t="str">
        <f>"2029"</f>
        <v>2029</v>
      </c>
      <c r="R374" s="5" t="str">
        <f t="shared" si="623"/>
        <v>нет</v>
      </c>
      <c r="S374" s="5" t="str">
        <f>""</f>
        <v/>
      </c>
      <c r="T374" s="5" t="str">
        <f>""</f>
        <v/>
      </c>
      <c r="U374" s="5" t="str">
        <f>""</f>
        <v/>
      </c>
      <c r="V374" s="5" t="str">
        <f t="shared" si="624"/>
        <v>нет</v>
      </c>
      <c r="W374" s="5" t="str">
        <f>""</f>
        <v/>
      </c>
      <c r="X374" s="5" t="str">
        <f>""</f>
        <v/>
      </c>
      <c r="Y374" s="9" t="str">
        <f>""</f>
        <v/>
      </c>
      <c r="Z374" s="5" t="str">
        <f>""</f>
        <v/>
      </c>
      <c r="AA374" s="5" t="str">
        <f>"20,00"</f>
        <v>20,00</v>
      </c>
      <c r="AB374" s="5" t="str">
        <f>"2030"</f>
        <v>2030</v>
      </c>
      <c r="AC374" s="5" t="str">
        <f t="shared" si="643"/>
        <v>нет</v>
      </c>
      <c r="AD374" s="5" t="str">
        <f>""</f>
        <v/>
      </c>
      <c r="AE374" s="5" t="str">
        <f>""</f>
        <v/>
      </c>
      <c r="AF374" s="5" t="str">
        <f>""</f>
        <v/>
      </c>
      <c r="AG374" s="5" t="str">
        <f t="shared" si="644"/>
        <v>нет</v>
      </c>
      <c r="AH374" s="5" t="str">
        <f>""</f>
        <v/>
      </c>
      <c r="AI374" s="5" t="str">
        <f>""</f>
        <v/>
      </c>
      <c r="AJ374" s="5" t="str">
        <f>""</f>
        <v/>
      </c>
      <c r="AK374" s="8" t="str">
        <f>""</f>
        <v/>
      </c>
      <c r="AL374" s="5" t="str">
        <f>"30,00"</f>
        <v>30,00</v>
      </c>
      <c r="AM374" s="5" t="str">
        <f>"2028"</f>
        <v>2028</v>
      </c>
      <c r="AN374" s="5" t="str">
        <f t="shared" si="625"/>
        <v>нет</v>
      </c>
      <c r="AO374" s="5" t="str">
        <f>""</f>
        <v/>
      </c>
      <c r="AP374" s="5" t="str">
        <f>""</f>
        <v/>
      </c>
      <c r="AQ374" s="5" t="str">
        <f>""</f>
        <v/>
      </c>
      <c r="AR374" s="5" t="str">
        <f t="shared" si="626"/>
        <v>нет</v>
      </c>
      <c r="AS374" s="5" t="str">
        <f>""</f>
        <v/>
      </c>
      <c r="AT374" s="5" t="str">
        <f>""</f>
        <v/>
      </c>
      <c r="AU374" s="5" t="str">
        <f>""</f>
        <v/>
      </c>
      <c r="AV374" s="5" t="str">
        <f>""</f>
        <v/>
      </c>
      <c r="AW374" s="5" t="str">
        <f>"30,00"</f>
        <v>30,00</v>
      </c>
      <c r="AX374" s="5" t="str">
        <f>"2027"</f>
        <v>2027</v>
      </c>
      <c r="AY374" s="5" t="str">
        <f t="shared" si="641"/>
        <v>нет</v>
      </c>
      <c r="AZ374" s="5" t="str">
        <f>""</f>
        <v/>
      </c>
      <c r="BA374" s="5" t="str">
        <f>""</f>
        <v/>
      </c>
      <c r="BB374" s="5" t="str">
        <f>""</f>
        <v/>
      </c>
      <c r="BC374" s="5" t="str">
        <f t="shared" si="642"/>
        <v>нет</v>
      </c>
      <c r="BD374" s="5" t="str">
        <f>""</f>
        <v/>
      </c>
      <c r="BE374" s="5" t="str">
        <f>""</f>
        <v/>
      </c>
      <c r="BF374" s="5" t="str">
        <f>""</f>
        <v/>
      </c>
      <c r="BG374" s="5" t="str">
        <f>""</f>
        <v/>
      </c>
      <c r="BH374" s="5" t="str">
        <f>"30,00"</f>
        <v>30,00</v>
      </c>
      <c r="BI374" s="5" t="str">
        <f>"2025"</f>
        <v>2025</v>
      </c>
      <c r="BJ374" s="5" t="str">
        <f t="shared" si="627"/>
        <v>нет</v>
      </c>
      <c r="BK374" s="5" t="str">
        <f>""</f>
        <v/>
      </c>
      <c r="BL374" s="5" t="str">
        <f>""</f>
        <v/>
      </c>
      <c r="BM374" s="5" t="str">
        <f>""</f>
        <v/>
      </c>
      <c r="BN374" s="5" t="str">
        <f t="shared" si="628"/>
        <v>нет</v>
      </c>
      <c r="BO374" s="5" t="str">
        <f>""</f>
        <v/>
      </c>
      <c r="BP374" s="5" t="str">
        <f>""</f>
        <v/>
      </c>
      <c r="BQ374" s="5" t="str">
        <f>""</f>
        <v/>
      </c>
      <c r="BR374" s="5" t="str">
        <f>""</f>
        <v/>
      </c>
      <c r="BS374" s="5" t="str">
        <f>"30,00"</f>
        <v>30,00</v>
      </c>
      <c r="BT374" s="5" t="str">
        <f>"2021"</f>
        <v>2021</v>
      </c>
      <c r="BU374" s="5" t="str">
        <f t="shared" si="633"/>
        <v>нет</v>
      </c>
      <c r="BV374" s="5" t="str">
        <f t="shared" si="630"/>
        <v>x</v>
      </c>
      <c r="BW374" s="5" t="str">
        <f t="shared" si="630"/>
        <v>x</v>
      </c>
      <c r="BX374" s="5" t="str">
        <f t="shared" si="630"/>
        <v>x</v>
      </c>
      <c r="BY374" s="5" t="str">
        <f t="shared" si="605"/>
        <v>нет</v>
      </c>
      <c r="BZ374" s="5" t="str">
        <f t="shared" si="606"/>
        <v>x</v>
      </c>
      <c r="CA374" s="5" t="str">
        <f t="shared" si="606"/>
        <v>x</v>
      </c>
      <c r="CB374" s="5" t="str">
        <f t="shared" si="606"/>
        <v>x</v>
      </c>
      <c r="CC374" s="5" t="str">
        <f>""</f>
        <v/>
      </c>
      <c r="CD374" s="5" t="str">
        <f>"30,00"</f>
        <v>30,00</v>
      </c>
      <c r="CE374" s="5" t="str">
        <f>"2021"</f>
        <v>2021</v>
      </c>
      <c r="CF374" s="5" t="str">
        <f>""</f>
        <v/>
      </c>
      <c r="CG374" s="5" t="str">
        <f>"30,00"</f>
        <v>30,00</v>
      </c>
      <c r="CH374" s="5" t="str">
        <f>"2022"</f>
        <v>2022</v>
      </c>
      <c r="CI374" s="5" t="str">
        <f t="shared" si="638"/>
        <v>30,00</v>
      </c>
      <c r="CJ374" s="5" t="str">
        <f>"2039"</f>
        <v>2039</v>
      </c>
    </row>
    <row r="375" spans="1:88" ht="11.25" customHeight="1">
      <c r="A375" s="3" t="str">
        <f>"1.362"</f>
        <v>1.362</v>
      </c>
      <c r="B375" s="4" t="str">
        <f>"д. Слобода (Перцевское МО), ул. Школьная, д.5"</f>
        <v>д. Слобода (Перцевское МО), ул. Школьная, д.5</v>
      </c>
      <c r="C375" s="7" t="str">
        <f>"1974"</f>
        <v>1974</v>
      </c>
      <c r="D375" s="5" t="str">
        <f>""</f>
        <v/>
      </c>
      <c r="E375" s="5" t="str">
        <f>"40,00"</f>
        <v>40,00</v>
      </c>
      <c r="F375" s="5" t="str">
        <f>"2021"</f>
        <v>2021</v>
      </c>
      <c r="G375" s="5" t="str">
        <f t="shared" si="621"/>
        <v>да</v>
      </c>
      <c r="H375" s="5" t="str">
        <f>""</f>
        <v/>
      </c>
      <c r="I375" s="5" t="str">
        <f>"40,00"</f>
        <v>40,00</v>
      </c>
      <c r="J375" s="5" t="str">
        <f>"2021"</f>
        <v>2021</v>
      </c>
      <c r="K375" s="5" t="str">
        <f t="shared" si="622"/>
        <v>да</v>
      </c>
      <c r="L375" s="5" t="str">
        <f>""</f>
        <v/>
      </c>
      <c r="M375" s="5" t="str">
        <f>"40,00"</f>
        <v>40,00</v>
      </c>
      <c r="N375" s="5" t="str">
        <f>"2021"</f>
        <v>2021</v>
      </c>
      <c r="O375" s="8" t="str">
        <f>""</f>
        <v/>
      </c>
      <c r="P375" s="5" t="str">
        <f>"30,00"</f>
        <v>30,00</v>
      </c>
      <c r="Q375" s="5" t="str">
        <f>"2022"</f>
        <v>2022</v>
      </c>
      <c r="R375" s="5" t="str">
        <f t="shared" si="623"/>
        <v>нет</v>
      </c>
      <c r="S375" s="5" t="str">
        <f>""</f>
        <v/>
      </c>
      <c r="T375" s="5" t="str">
        <f>""</f>
        <v/>
      </c>
      <c r="U375" s="5" t="str">
        <f>""</f>
        <v/>
      </c>
      <c r="V375" s="5" t="str">
        <f t="shared" si="624"/>
        <v>нет</v>
      </c>
      <c r="W375" s="5" t="str">
        <f>""</f>
        <v/>
      </c>
      <c r="X375" s="5" t="str">
        <f>""</f>
        <v/>
      </c>
      <c r="Y375" s="9" t="str">
        <f>""</f>
        <v/>
      </c>
      <c r="Z375" s="5" t="str">
        <f>""</f>
        <v/>
      </c>
      <c r="AA375" s="5" t="str">
        <f>"30,00"</f>
        <v>30,00</v>
      </c>
      <c r="AB375" s="5" t="str">
        <f>"2023"</f>
        <v>2023</v>
      </c>
      <c r="AC375" s="5" t="str">
        <f t="shared" si="643"/>
        <v>нет</v>
      </c>
      <c r="AD375" s="5" t="str">
        <f>""</f>
        <v/>
      </c>
      <c r="AE375" s="5" t="str">
        <f>""</f>
        <v/>
      </c>
      <c r="AF375" s="5" t="str">
        <f>""</f>
        <v/>
      </c>
      <c r="AG375" s="5" t="str">
        <f t="shared" si="644"/>
        <v>нет</v>
      </c>
      <c r="AH375" s="5" t="str">
        <f>""</f>
        <v/>
      </c>
      <c r="AI375" s="5" t="str">
        <f>""</f>
        <v/>
      </c>
      <c r="AJ375" s="5" t="str">
        <f>""</f>
        <v/>
      </c>
      <c r="AK375" s="8" t="str">
        <f>""</f>
        <v/>
      </c>
      <c r="AL375" s="5" t="str">
        <f>"45,00"</f>
        <v>45,00</v>
      </c>
      <c r="AM375" s="5" t="str">
        <f>"2022"</f>
        <v>2022</v>
      </c>
      <c r="AN375" s="5" t="str">
        <f t="shared" si="625"/>
        <v>нет</v>
      </c>
      <c r="AO375" s="5" t="str">
        <f>""</f>
        <v/>
      </c>
      <c r="AP375" s="5" t="str">
        <f>""</f>
        <v/>
      </c>
      <c r="AQ375" s="5" t="str">
        <f>""</f>
        <v/>
      </c>
      <c r="AR375" s="5" t="str">
        <f t="shared" si="626"/>
        <v>нет</v>
      </c>
      <c r="AS375" s="5" t="str">
        <f>""</f>
        <v/>
      </c>
      <c r="AT375" s="5" t="str">
        <f>""</f>
        <v/>
      </c>
      <c r="AU375" s="5" t="str">
        <f>""</f>
        <v/>
      </c>
      <c r="AV375" s="5" t="str">
        <f>""</f>
        <v/>
      </c>
      <c r="AW375" s="5" t="str">
        <f>"45,00"</f>
        <v>45,00</v>
      </c>
      <c r="AX375" s="5" t="str">
        <f>"2023"</f>
        <v>2023</v>
      </c>
      <c r="AY375" s="5" t="str">
        <f t="shared" si="641"/>
        <v>нет</v>
      </c>
      <c r="AZ375" s="5" t="str">
        <f>""</f>
        <v/>
      </c>
      <c r="BA375" s="5" t="str">
        <f>""</f>
        <v/>
      </c>
      <c r="BB375" s="5" t="str">
        <f>""</f>
        <v/>
      </c>
      <c r="BC375" s="5" t="str">
        <f t="shared" si="642"/>
        <v>нет</v>
      </c>
      <c r="BD375" s="5" t="str">
        <f>""</f>
        <v/>
      </c>
      <c r="BE375" s="5" t="str">
        <f>""</f>
        <v/>
      </c>
      <c r="BF375" s="5" t="str">
        <f>""</f>
        <v/>
      </c>
      <c r="BG375" s="5" t="str">
        <f>""</f>
        <v/>
      </c>
      <c r="BH375" s="5" t="str">
        <f>"45,00"</f>
        <v>45,00</v>
      </c>
      <c r="BI375" s="5" t="str">
        <f>"2024"</f>
        <v>2024</v>
      </c>
      <c r="BJ375" s="5" t="str">
        <f t="shared" si="627"/>
        <v>нет</v>
      </c>
      <c r="BK375" s="5" t="str">
        <f>""</f>
        <v/>
      </c>
      <c r="BL375" s="5" t="str">
        <f>""</f>
        <v/>
      </c>
      <c r="BM375" s="5" t="str">
        <f>""</f>
        <v/>
      </c>
      <c r="BN375" s="5" t="str">
        <f t="shared" si="628"/>
        <v>нет</v>
      </c>
      <c r="BO375" s="5" t="str">
        <f>""</f>
        <v/>
      </c>
      <c r="BP375" s="5" t="str">
        <f>""</f>
        <v/>
      </c>
      <c r="BQ375" s="5" t="str">
        <f>""</f>
        <v/>
      </c>
      <c r="BR375" s="5" t="str">
        <f>"2013"</f>
        <v>2013</v>
      </c>
      <c r="BS375" s="5" t="str">
        <f>"5,00"</f>
        <v>5,00</v>
      </c>
      <c r="BT375" s="5" t="str">
        <f>"2035"</f>
        <v>2035</v>
      </c>
      <c r="BU375" s="5" t="str">
        <f t="shared" si="633"/>
        <v>нет</v>
      </c>
      <c r="BV375" s="5" t="str">
        <f t="shared" si="630"/>
        <v>x</v>
      </c>
      <c r="BW375" s="5" t="str">
        <f t="shared" si="630"/>
        <v>x</v>
      </c>
      <c r="BX375" s="5" t="str">
        <f t="shared" si="630"/>
        <v>x</v>
      </c>
      <c r="BY375" s="5" t="str">
        <f t="shared" si="605"/>
        <v>нет</v>
      </c>
      <c r="BZ375" s="5" t="str">
        <f t="shared" si="606"/>
        <v>x</v>
      </c>
      <c r="CA375" s="5" t="str">
        <f t="shared" si="606"/>
        <v>x</v>
      </c>
      <c r="CB375" s="5" t="str">
        <f t="shared" si="606"/>
        <v>x</v>
      </c>
      <c r="CC375" s="5" t="str">
        <f>""</f>
        <v/>
      </c>
      <c r="CD375" s="5" t="str">
        <f>"40,00"</f>
        <v>40,00</v>
      </c>
      <c r="CE375" s="5" t="str">
        <f>"2025"</f>
        <v>2025</v>
      </c>
      <c r="CF375" s="5" t="str">
        <f>""</f>
        <v/>
      </c>
      <c r="CG375" s="5" t="str">
        <f>"40,00"</f>
        <v>40,00</v>
      </c>
      <c r="CH375" s="5" t="str">
        <f>"2025"</f>
        <v>2025</v>
      </c>
      <c r="CI375" s="5" t="str">
        <f>"50,00"</f>
        <v>50,00</v>
      </c>
      <c r="CJ375" s="5" t="str">
        <f>"2041"</f>
        <v>2041</v>
      </c>
    </row>
    <row r="376" spans="1:88" ht="11.25" customHeight="1">
      <c r="A376" s="3" t="str">
        <f>"1.363"</f>
        <v>1.363</v>
      </c>
      <c r="B376" s="4" t="str">
        <f>"д. Слобода (Перцевское МО), ул. Школьная, д.6"</f>
        <v>д. Слобода (Перцевское МО), ул. Школьная, д.6</v>
      </c>
      <c r="C376" s="7" t="str">
        <f>"1974"</f>
        <v>1974</v>
      </c>
      <c r="D376" s="5" t="str">
        <f>""</f>
        <v/>
      </c>
      <c r="E376" s="5" t="str">
        <f>"45,00"</f>
        <v>45,00</v>
      </c>
      <c r="F376" s="5" t="str">
        <f>"2021"</f>
        <v>2021</v>
      </c>
      <c r="G376" s="5" t="str">
        <f t="shared" si="621"/>
        <v>да</v>
      </c>
      <c r="H376" s="5" t="str">
        <f>""</f>
        <v/>
      </c>
      <c r="I376" s="5" t="str">
        <f>"45,00"</f>
        <v>45,00</v>
      </c>
      <c r="J376" s="5" t="str">
        <f>"2021"</f>
        <v>2021</v>
      </c>
      <c r="K376" s="5" t="str">
        <f t="shared" si="622"/>
        <v>да</v>
      </c>
      <c r="L376" s="5" t="str">
        <f>""</f>
        <v/>
      </c>
      <c r="M376" s="5" t="str">
        <f>"45,00"</f>
        <v>45,00</v>
      </c>
      <c r="N376" s="5" t="str">
        <f>"2021"</f>
        <v>2021</v>
      </c>
      <c r="O376" s="8" t="str">
        <f>""</f>
        <v/>
      </c>
      <c r="P376" s="5" t="str">
        <f>"40,00"</f>
        <v>40,00</v>
      </c>
      <c r="Q376" s="5" t="str">
        <f>"2026"</f>
        <v>2026</v>
      </c>
      <c r="R376" s="5" t="str">
        <f t="shared" si="623"/>
        <v>нет</v>
      </c>
      <c r="S376" s="5" t="str">
        <f>""</f>
        <v/>
      </c>
      <c r="T376" s="5" t="str">
        <f>""</f>
        <v/>
      </c>
      <c r="U376" s="5" t="str">
        <f>""</f>
        <v/>
      </c>
      <c r="V376" s="5" t="str">
        <f t="shared" si="624"/>
        <v>нет</v>
      </c>
      <c r="W376" s="5" t="str">
        <f>""</f>
        <v/>
      </c>
      <c r="X376" s="5" t="str">
        <f>""</f>
        <v/>
      </c>
      <c r="Y376" s="9" t="str">
        <f>""</f>
        <v/>
      </c>
      <c r="Z376" s="5" t="str">
        <f>""</f>
        <v/>
      </c>
      <c r="AA376" s="5" t="str">
        <f>"30,00"</f>
        <v>30,00</v>
      </c>
      <c r="AB376" s="5" t="str">
        <f>"2027"</f>
        <v>2027</v>
      </c>
      <c r="AC376" s="5" t="str">
        <f t="shared" si="643"/>
        <v>нет</v>
      </c>
      <c r="AD376" s="5" t="str">
        <f>""</f>
        <v/>
      </c>
      <c r="AE376" s="5" t="str">
        <f>""</f>
        <v/>
      </c>
      <c r="AF376" s="5" t="str">
        <f>""</f>
        <v/>
      </c>
      <c r="AG376" s="5" t="str">
        <f t="shared" si="644"/>
        <v>нет</v>
      </c>
      <c r="AH376" s="5" t="str">
        <f>""</f>
        <v/>
      </c>
      <c r="AI376" s="5" t="str">
        <f>""</f>
        <v/>
      </c>
      <c r="AJ376" s="5" t="str">
        <f>""</f>
        <v/>
      </c>
      <c r="AK376" s="8" t="str">
        <f>""</f>
        <v/>
      </c>
      <c r="AL376" s="5" t="str">
        <f>"40,00"</f>
        <v>40,00</v>
      </c>
      <c r="AM376" s="5" t="str">
        <f>"2021"</f>
        <v>2021</v>
      </c>
      <c r="AN376" s="5" t="str">
        <f t="shared" si="625"/>
        <v>нет</v>
      </c>
      <c r="AO376" s="5" t="str">
        <f>""</f>
        <v/>
      </c>
      <c r="AP376" s="5" t="str">
        <f>""</f>
        <v/>
      </c>
      <c r="AQ376" s="5" t="str">
        <f>""</f>
        <v/>
      </c>
      <c r="AR376" s="5" t="str">
        <f t="shared" si="626"/>
        <v>нет</v>
      </c>
      <c r="AS376" s="5" t="str">
        <f>""</f>
        <v/>
      </c>
      <c r="AT376" s="5" t="str">
        <f>""</f>
        <v/>
      </c>
      <c r="AU376" s="5" t="str">
        <f>""</f>
        <v/>
      </c>
      <c r="AV376" s="5" t="str">
        <f>""</f>
        <v/>
      </c>
      <c r="AW376" s="5" t="str">
        <f>"40,00"</f>
        <v>40,00</v>
      </c>
      <c r="AX376" s="5" t="str">
        <f>"2021"</f>
        <v>2021</v>
      </c>
      <c r="AY376" s="5" t="str">
        <f t="shared" si="641"/>
        <v>нет</v>
      </c>
      <c r="AZ376" s="5" t="str">
        <f>""</f>
        <v/>
      </c>
      <c r="BA376" s="5" t="str">
        <f>""</f>
        <v/>
      </c>
      <c r="BB376" s="5" t="str">
        <f>""</f>
        <v/>
      </c>
      <c r="BC376" s="5" t="str">
        <f t="shared" si="642"/>
        <v>нет</v>
      </c>
      <c r="BD376" s="5" t="str">
        <f>""</f>
        <v/>
      </c>
      <c r="BE376" s="5" t="str">
        <f>""</f>
        <v/>
      </c>
      <c r="BF376" s="5" t="str">
        <f>""</f>
        <v/>
      </c>
      <c r="BG376" s="5" t="str">
        <f>""</f>
        <v/>
      </c>
      <c r="BH376" s="5" t="str">
        <f>"40,00"</f>
        <v>40,00</v>
      </c>
      <c r="BI376" s="5" t="str">
        <f>"2020"</f>
        <v>2020</v>
      </c>
      <c r="BJ376" s="5" t="str">
        <f t="shared" si="627"/>
        <v>нет</v>
      </c>
      <c r="BK376" s="5" t="str">
        <f>""</f>
        <v/>
      </c>
      <c r="BL376" s="5" t="str">
        <f>""</f>
        <v/>
      </c>
      <c r="BM376" s="5" t="str">
        <f>""</f>
        <v/>
      </c>
      <c r="BN376" s="5" t="str">
        <f t="shared" si="628"/>
        <v>нет</v>
      </c>
      <c r="BO376" s="5" t="str">
        <f>""</f>
        <v/>
      </c>
      <c r="BP376" s="5" t="str">
        <f>""</f>
        <v/>
      </c>
      <c r="BQ376" s="5" t="str">
        <f>""</f>
        <v/>
      </c>
      <c r="BR376" s="5" t="str">
        <f>"2013"</f>
        <v>2013</v>
      </c>
      <c r="BS376" s="5" t="str">
        <f>"3,00"</f>
        <v>3,00</v>
      </c>
      <c r="BT376" s="5" t="str">
        <f>"2030"</f>
        <v>2030</v>
      </c>
      <c r="BU376" s="5" t="str">
        <f t="shared" si="633"/>
        <v>нет</v>
      </c>
      <c r="BV376" s="5" t="str">
        <f t="shared" si="630"/>
        <v>x</v>
      </c>
      <c r="BW376" s="5" t="str">
        <f t="shared" si="630"/>
        <v>x</v>
      </c>
      <c r="BX376" s="5" t="str">
        <f t="shared" si="630"/>
        <v>x</v>
      </c>
      <c r="BY376" s="5" t="str">
        <f t="shared" si="605"/>
        <v>нет</v>
      </c>
      <c r="BZ376" s="5" t="str">
        <f t="shared" si="606"/>
        <v>x</v>
      </c>
      <c r="CA376" s="5" t="str">
        <f t="shared" si="606"/>
        <v>x</v>
      </c>
      <c r="CB376" s="5" t="str">
        <f t="shared" si="606"/>
        <v>x</v>
      </c>
      <c r="CC376" s="5" t="str">
        <f>""</f>
        <v/>
      </c>
      <c r="CD376" s="5" t="str">
        <f>"40,00"</f>
        <v>40,00</v>
      </c>
      <c r="CE376" s="5" t="str">
        <f>"2022"</f>
        <v>2022</v>
      </c>
      <c r="CF376" s="5" t="str">
        <f>""</f>
        <v/>
      </c>
      <c r="CG376" s="5" t="str">
        <f>"40,00"</f>
        <v>40,00</v>
      </c>
      <c r="CH376" s="5" t="str">
        <f>"2023"</f>
        <v>2023</v>
      </c>
      <c r="CI376" s="5" t="str">
        <f>"40,00"</f>
        <v>40,00</v>
      </c>
      <c r="CJ376" s="5" t="str">
        <f>"2039"</f>
        <v>2039</v>
      </c>
    </row>
    <row r="377" spans="1:88" ht="11.25" customHeight="1">
      <c r="A377" s="3" t="str">
        <f>"1.364"</f>
        <v>1.364</v>
      </c>
      <c r="B377" s="4" t="str">
        <f>"д. Слобода (Перцевское МО), ул. Школьная, д.7"</f>
        <v>д. Слобода (Перцевское МО), ул. Школьная, д.7</v>
      </c>
      <c r="C377" s="7" t="str">
        <f>"1975"</f>
        <v>1975</v>
      </c>
      <c r="D377" s="5" t="str">
        <f>""</f>
        <v/>
      </c>
      <c r="E377" s="5" t="str">
        <f>"30,00"</f>
        <v>30,00</v>
      </c>
      <c r="F377" s="5" t="str">
        <f>"2025"</f>
        <v>2025</v>
      </c>
      <c r="G377" s="5" t="str">
        <f t="shared" si="621"/>
        <v>да</v>
      </c>
      <c r="H377" s="5" t="str">
        <f>""</f>
        <v/>
      </c>
      <c r="I377" s="5" t="str">
        <f>"30,00"</f>
        <v>30,00</v>
      </c>
      <c r="J377" s="5" t="str">
        <f>"2025"</f>
        <v>2025</v>
      </c>
      <c r="K377" s="5" t="str">
        <f t="shared" si="622"/>
        <v>да</v>
      </c>
      <c r="L377" s="5" t="str">
        <f>""</f>
        <v/>
      </c>
      <c r="M377" s="5" t="str">
        <f>"30,00"</f>
        <v>30,00</v>
      </c>
      <c r="N377" s="5" t="str">
        <f>"2025"</f>
        <v>2025</v>
      </c>
      <c r="O377" s="8" t="str">
        <f>""</f>
        <v/>
      </c>
      <c r="P377" s="5" t="str">
        <f>"35,00"</f>
        <v>35,00</v>
      </c>
      <c r="Q377" s="5" t="str">
        <f>"2023"</f>
        <v>2023</v>
      </c>
      <c r="R377" s="5" t="str">
        <f t="shared" si="623"/>
        <v>нет</v>
      </c>
      <c r="S377" s="5" t="str">
        <f>""</f>
        <v/>
      </c>
      <c r="T377" s="5" t="str">
        <f>""</f>
        <v/>
      </c>
      <c r="U377" s="5" t="str">
        <f>""</f>
        <v/>
      </c>
      <c r="V377" s="5" t="str">
        <f t="shared" si="624"/>
        <v>нет</v>
      </c>
      <c r="W377" s="5" t="str">
        <f>""</f>
        <v/>
      </c>
      <c r="X377" s="5" t="str">
        <f>""</f>
        <v/>
      </c>
      <c r="Y377" s="9" t="str">
        <f>""</f>
        <v/>
      </c>
      <c r="Z377" s="5" t="str">
        <f>""</f>
        <v/>
      </c>
      <c r="AA377" s="5" t="str">
        <f>"35,00"</f>
        <v>35,00</v>
      </c>
      <c r="AB377" s="5" t="str">
        <f>"2023"</f>
        <v>2023</v>
      </c>
      <c r="AC377" s="5" t="str">
        <f t="shared" si="643"/>
        <v>нет</v>
      </c>
      <c r="AD377" s="5" t="str">
        <f>""</f>
        <v/>
      </c>
      <c r="AE377" s="5" t="str">
        <f>""</f>
        <v/>
      </c>
      <c r="AF377" s="5" t="str">
        <f>""</f>
        <v/>
      </c>
      <c r="AG377" s="5" t="str">
        <f t="shared" si="644"/>
        <v>нет</v>
      </c>
      <c r="AH377" s="5" t="str">
        <f>""</f>
        <v/>
      </c>
      <c r="AI377" s="5" t="str">
        <f>""</f>
        <v/>
      </c>
      <c r="AJ377" s="5" t="str">
        <f>""</f>
        <v/>
      </c>
      <c r="AK377" s="8" t="str">
        <f>""</f>
        <v/>
      </c>
      <c r="AL377" s="5" t="str">
        <f>"32,00"</f>
        <v>32,00</v>
      </c>
      <c r="AM377" s="5" t="str">
        <f>"2025"</f>
        <v>2025</v>
      </c>
      <c r="AN377" s="5" t="str">
        <f t="shared" si="625"/>
        <v>нет</v>
      </c>
      <c r="AO377" s="5" t="str">
        <f>""</f>
        <v/>
      </c>
      <c r="AP377" s="5" t="str">
        <f>""</f>
        <v/>
      </c>
      <c r="AQ377" s="5" t="str">
        <f>""</f>
        <v/>
      </c>
      <c r="AR377" s="5" t="str">
        <f t="shared" si="626"/>
        <v>нет</v>
      </c>
      <c r="AS377" s="5" t="str">
        <f>""</f>
        <v/>
      </c>
      <c r="AT377" s="5" t="str">
        <f>""</f>
        <v/>
      </c>
      <c r="AU377" s="5" t="str">
        <f>""</f>
        <v/>
      </c>
      <c r="AV377" s="5" t="str">
        <f>""</f>
        <v/>
      </c>
      <c r="AW377" s="5" t="str">
        <f>"32,00"</f>
        <v>32,00</v>
      </c>
      <c r="AX377" s="5" t="str">
        <f>"2025"</f>
        <v>2025</v>
      </c>
      <c r="AY377" s="5" t="str">
        <f t="shared" si="641"/>
        <v>нет</v>
      </c>
      <c r="AZ377" s="5" t="str">
        <f>""</f>
        <v/>
      </c>
      <c r="BA377" s="5" t="str">
        <f>""</f>
        <v/>
      </c>
      <c r="BB377" s="5" t="str">
        <f>""</f>
        <v/>
      </c>
      <c r="BC377" s="5" t="str">
        <f t="shared" si="642"/>
        <v>нет</v>
      </c>
      <c r="BD377" s="5" t="str">
        <f>""</f>
        <v/>
      </c>
      <c r="BE377" s="5" t="str">
        <f>""</f>
        <v/>
      </c>
      <c r="BF377" s="5" t="str">
        <f>""</f>
        <v/>
      </c>
      <c r="BG377" s="5" t="str">
        <f>""</f>
        <v/>
      </c>
      <c r="BH377" s="5" t="str">
        <f>"36,00"</f>
        <v>36,00</v>
      </c>
      <c r="BI377" s="5" t="str">
        <f>"2026"</f>
        <v>2026</v>
      </c>
      <c r="BJ377" s="5" t="str">
        <f t="shared" si="627"/>
        <v>нет</v>
      </c>
      <c r="BK377" s="5" t="str">
        <f>""</f>
        <v/>
      </c>
      <c r="BL377" s="5" t="str">
        <f>""</f>
        <v/>
      </c>
      <c r="BM377" s="5" t="str">
        <f>""</f>
        <v/>
      </c>
      <c r="BN377" s="5" t="str">
        <f t="shared" si="628"/>
        <v>нет</v>
      </c>
      <c r="BO377" s="5" t="str">
        <f>""</f>
        <v/>
      </c>
      <c r="BP377" s="5" t="str">
        <f>""</f>
        <v/>
      </c>
      <c r="BQ377" s="5" t="str">
        <f>""</f>
        <v/>
      </c>
      <c r="BR377" s="5" t="str">
        <f>""</f>
        <v/>
      </c>
      <c r="BS377" s="5" t="str">
        <f>"60,00"</f>
        <v>60,00</v>
      </c>
      <c r="BT377" s="5" t="str">
        <f>"2019"</f>
        <v>2019</v>
      </c>
      <c r="BU377" s="5" t="str">
        <f t="shared" si="633"/>
        <v>нет</v>
      </c>
      <c r="BV377" s="5" t="str">
        <f t="shared" si="630"/>
        <v>x</v>
      </c>
      <c r="BW377" s="5" t="str">
        <f t="shared" si="630"/>
        <v>x</v>
      </c>
      <c r="BX377" s="5" t="str">
        <f t="shared" si="630"/>
        <v>x</v>
      </c>
      <c r="BY377" s="5" t="str">
        <f>"да"</f>
        <v>да</v>
      </c>
      <c r="BZ377" s="5" t="str">
        <f>""</f>
        <v/>
      </c>
      <c r="CA377" s="5" t="str">
        <f>"40,00"</f>
        <v>40,00</v>
      </c>
      <c r="CB377" s="5" t="str">
        <f>"2021"</f>
        <v>2021</v>
      </c>
      <c r="CC377" s="5" t="str">
        <f>""</f>
        <v/>
      </c>
      <c r="CD377" s="5" t="str">
        <f>"40,00"</f>
        <v>40,00</v>
      </c>
      <c r="CE377" s="5" t="str">
        <f>"2022"</f>
        <v>2022</v>
      </c>
      <c r="CF377" s="5" t="str">
        <f>""</f>
        <v/>
      </c>
      <c r="CG377" s="5" t="str">
        <f>"40,00"</f>
        <v>40,00</v>
      </c>
      <c r="CH377" s="5" t="str">
        <f>"2022"</f>
        <v>2022</v>
      </c>
      <c r="CI377" s="5" t="str">
        <f>"40,00"</f>
        <v>40,00</v>
      </c>
      <c r="CJ377" s="5" t="str">
        <f>"2042"</f>
        <v>2042</v>
      </c>
    </row>
    <row r="378" spans="1:88" ht="11.25" customHeight="1">
      <c r="A378" s="3" t="str">
        <f>"1.365"</f>
        <v>1.365</v>
      </c>
      <c r="B378" s="4" t="str">
        <f>"д. Слобода (Перцевское МО), ул. Школьная, д.9"</f>
        <v>д. Слобода (Перцевское МО), ул. Школьная, д.9</v>
      </c>
      <c r="C378" s="7" t="str">
        <f>"1977"</f>
        <v>1977</v>
      </c>
      <c r="D378" s="5" t="str">
        <f>""</f>
        <v/>
      </c>
      <c r="E378" s="5" t="str">
        <f>"50,00"</f>
        <v>50,00</v>
      </c>
      <c r="F378" s="5" t="str">
        <f>"2022"</f>
        <v>2022</v>
      </c>
      <c r="G378" s="5" t="str">
        <f t="shared" si="621"/>
        <v>да</v>
      </c>
      <c r="H378" s="5" t="str">
        <f>""</f>
        <v/>
      </c>
      <c r="I378" s="5" t="str">
        <f>"50,00"</f>
        <v>50,00</v>
      </c>
      <c r="J378" s="5" t="str">
        <f>"2022"</f>
        <v>2022</v>
      </c>
      <c r="K378" s="5" t="str">
        <f t="shared" si="622"/>
        <v>да</v>
      </c>
      <c r="L378" s="5" t="str">
        <f>""</f>
        <v/>
      </c>
      <c r="M378" s="5" t="str">
        <f>"50,00"</f>
        <v>50,00</v>
      </c>
      <c r="N378" s="5" t="str">
        <f>"2022"</f>
        <v>2022</v>
      </c>
      <c r="O378" s="8" t="str">
        <f>""</f>
        <v/>
      </c>
      <c r="P378" s="5" t="str">
        <f>"45,00"</f>
        <v>45,00</v>
      </c>
      <c r="Q378" s="5" t="str">
        <f>"2023"</f>
        <v>2023</v>
      </c>
      <c r="R378" s="5" t="str">
        <f t="shared" si="623"/>
        <v>нет</v>
      </c>
      <c r="S378" s="5" t="str">
        <f>""</f>
        <v/>
      </c>
      <c r="T378" s="5" t="str">
        <f>""</f>
        <v/>
      </c>
      <c r="U378" s="5" t="str">
        <f>""</f>
        <v/>
      </c>
      <c r="V378" s="5" t="str">
        <f t="shared" si="624"/>
        <v>нет</v>
      </c>
      <c r="W378" s="5" t="str">
        <f>""</f>
        <v/>
      </c>
      <c r="X378" s="5" t="str">
        <f>""</f>
        <v/>
      </c>
      <c r="Y378" s="9" t="str">
        <f>""</f>
        <v/>
      </c>
      <c r="Z378" s="5" t="str">
        <f>""</f>
        <v/>
      </c>
      <c r="AA378" s="5" t="str">
        <f>"40,00"</f>
        <v>40,00</v>
      </c>
      <c r="AB378" s="5" t="str">
        <f>"2025"</f>
        <v>2025</v>
      </c>
      <c r="AC378" s="5" t="str">
        <f t="shared" si="643"/>
        <v>нет</v>
      </c>
      <c r="AD378" s="5" t="str">
        <f>""</f>
        <v/>
      </c>
      <c r="AE378" s="5" t="str">
        <f>""</f>
        <v/>
      </c>
      <c r="AF378" s="5" t="str">
        <f>""</f>
        <v/>
      </c>
      <c r="AG378" s="5" t="str">
        <f t="shared" si="644"/>
        <v>нет</v>
      </c>
      <c r="AH378" s="5" t="str">
        <f>""</f>
        <v/>
      </c>
      <c r="AI378" s="5" t="str">
        <f>""</f>
        <v/>
      </c>
      <c r="AJ378" s="5" t="str">
        <f>""</f>
        <v/>
      </c>
      <c r="AK378" s="8" t="str">
        <f>""</f>
        <v/>
      </c>
      <c r="AL378" s="5" t="str">
        <f>"50,00"</f>
        <v>50,00</v>
      </c>
      <c r="AM378" s="5" t="str">
        <f>"2021"</f>
        <v>2021</v>
      </c>
      <c r="AN378" s="5" t="str">
        <f t="shared" si="625"/>
        <v>нет</v>
      </c>
      <c r="AO378" s="5" t="str">
        <f>""</f>
        <v/>
      </c>
      <c r="AP378" s="5" t="str">
        <f>""</f>
        <v/>
      </c>
      <c r="AQ378" s="5" t="str">
        <f>""</f>
        <v/>
      </c>
      <c r="AR378" s="5" t="str">
        <f t="shared" si="626"/>
        <v>нет</v>
      </c>
      <c r="AS378" s="5" t="str">
        <f>""</f>
        <v/>
      </c>
      <c r="AT378" s="5" t="str">
        <f>""</f>
        <v/>
      </c>
      <c r="AU378" s="5" t="str">
        <f>""</f>
        <v/>
      </c>
      <c r="AV378" s="5" t="str">
        <f>""</f>
        <v/>
      </c>
      <c r="AW378" s="5" t="str">
        <f>"50,00"</f>
        <v>50,00</v>
      </c>
      <c r="AX378" s="5" t="str">
        <f>"2021"</f>
        <v>2021</v>
      </c>
      <c r="AY378" s="5" t="str">
        <f t="shared" si="641"/>
        <v>нет</v>
      </c>
      <c r="AZ378" s="5" t="str">
        <f>""</f>
        <v/>
      </c>
      <c r="BA378" s="5" t="str">
        <f>""</f>
        <v/>
      </c>
      <c r="BB378" s="5" t="str">
        <f>""</f>
        <v/>
      </c>
      <c r="BC378" s="5" t="str">
        <f t="shared" si="642"/>
        <v>нет</v>
      </c>
      <c r="BD378" s="5" t="str">
        <f>""</f>
        <v/>
      </c>
      <c r="BE378" s="5" t="str">
        <f>""</f>
        <v/>
      </c>
      <c r="BF378" s="5" t="str">
        <f>""</f>
        <v/>
      </c>
      <c r="BG378" s="5" t="str">
        <f>""</f>
        <v/>
      </c>
      <c r="BH378" s="5" t="str">
        <f>"55,00"</f>
        <v>55,00</v>
      </c>
      <c r="BI378" s="5" t="str">
        <f>"2020"</f>
        <v>2020</v>
      </c>
      <c r="BJ378" s="5" t="str">
        <f t="shared" si="627"/>
        <v>нет</v>
      </c>
      <c r="BK378" s="5" t="str">
        <f>""</f>
        <v/>
      </c>
      <c r="BL378" s="5" t="str">
        <f>""</f>
        <v/>
      </c>
      <c r="BM378" s="5" t="str">
        <f>""</f>
        <v/>
      </c>
      <c r="BN378" s="5" t="str">
        <f t="shared" si="628"/>
        <v>нет</v>
      </c>
      <c r="BO378" s="5" t="str">
        <f>""</f>
        <v/>
      </c>
      <c r="BP378" s="5" t="str">
        <f>""</f>
        <v/>
      </c>
      <c r="BQ378" s="5" t="str">
        <f>""</f>
        <v/>
      </c>
      <c r="BR378" s="5" t="str">
        <f>""</f>
        <v/>
      </c>
      <c r="BS378" s="5" t="str">
        <f>"45,00"</f>
        <v>45,00</v>
      </c>
      <c r="BT378" s="5" t="str">
        <f>"2018"</f>
        <v>2018</v>
      </c>
      <c r="BU378" s="5" t="str">
        <f t="shared" si="633"/>
        <v>нет</v>
      </c>
      <c r="BV378" s="5" t="str">
        <f t="shared" si="630"/>
        <v>x</v>
      </c>
      <c r="BW378" s="5" t="str">
        <f t="shared" si="630"/>
        <v>x</v>
      </c>
      <c r="BX378" s="5" t="str">
        <f t="shared" si="630"/>
        <v>x</v>
      </c>
      <c r="BY378" s="5" t="str">
        <f t="shared" ref="BY378:BY409" si="645">"нет"</f>
        <v>нет</v>
      </c>
      <c r="BZ378" s="5" t="str">
        <f t="shared" ref="BZ378:CB397" si="646">"x"</f>
        <v>x</v>
      </c>
      <c r="CA378" s="5" t="str">
        <f t="shared" si="646"/>
        <v>x</v>
      </c>
      <c r="CB378" s="5" t="str">
        <f t="shared" si="646"/>
        <v>x</v>
      </c>
      <c r="CC378" s="5" t="str">
        <f>""</f>
        <v/>
      </c>
      <c r="CD378" s="5" t="str">
        <f>"40,00"</f>
        <v>40,00</v>
      </c>
      <c r="CE378" s="5" t="str">
        <f>"2022"</f>
        <v>2022</v>
      </c>
      <c r="CF378" s="5" t="str">
        <f>""</f>
        <v/>
      </c>
      <c r="CG378" s="5" t="str">
        <f>"40,00"</f>
        <v>40,00</v>
      </c>
      <c r="CH378" s="5" t="str">
        <f>"2023"</f>
        <v>2023</v>
      </c>
      <c r="CI378" s="5" t="str">
        <f>"40,00"</f>
        <v>40,00</v>
      </c>
      <c r="CJ378" s="5" t="str">
        <f>"2042"</f>
        <v>2042</v>
      </c>
    </row>
    <row r="379" spans="1:88" ht="11.25" customHeight="1">
      <c r="A379" s="3" t="str">
        <f>"1.366"</f>
        <v>1.366</v>
      </c>
      <c r="B379" s="4" t="str">
        <f>"д. Спасское, д.1"</f>
        <v>д. Спасское, д.1</v>
      </c>
      <c r="C379" s="7" t="str">
        <f>"1989"</f>
        <v>1989</v>
      </c>
      <c r="D379" s="5" t="str">
        <f>""</f>
        <v/>
      </c>
      <c r="E379" s="5" t="str">
        <f>"20,00"</f>
        <v>20,00</v>
      </c>
      <c r="F379" s="5" t="str">
        <f>"2030"</f>
        <v>2030</v>
      </c>
      <c r="G379" s="5" t="str">
        <f>"нет"</f>
        <v>нет</v>
      </c>
      <c r="H379" s="5" t="str">
        <f>""</f>
        <v/>
      </c>
      <c r="I379" s="5" t="str">
        <f>""</f>
        <v/>
      </c>
      <c r="J379" s="5" t="str">
        <f>""</f>
        <v/>
      </c>
      <c r="K379" s="5" t="str">
        <f>"нет"</f>
        <v>нет</v>
      </c>
      <c r="L379" s="5" t="str">
        <f>""</f>
        <v/>
      </c>
      <c r="M379" s="5" t="str">
        <f>""</f>
        <v/>
      </c>
      <c r="N379" s="5" t="str">
        <f>""</f>
        <v/>
      </c>
      <c r="O379" s="8" t="str">
        <f>""</f>
        <v/>
      </c>
      <c r="P379" s="5" t="str">
        <f>"15,00"</f>
        <v>15,00</v>
      </c>
      <c r="Q379" s="5" t="str">
        <f>"2031"</f>
        <v>2031</v>
      </c>
      <c r="R379" s="5" t="str">
        <f t="shared" si="623"/>
        <v>нет</v>
      </c>
      <c r="S379" s="5" t="str">
        <f>""</f>
        <v/>
      </c>
      <c r="T379" s="5" t="str">
        <f>""</f>
        <v/>
      </c>
      <c r="U379" s="5" t="str">
        <f>""</f>
        <v/>
      </c>
      <c r="V379" s="5" t="str">
        <f t="shared" si="624"/>
        <v>нет</v>
      </c>
      <c r="W379" s="5" t="str">
        <f>""</f>
        <v/>
      </c>
      <c r="X379" s="5" t="str">
        <f>""</f>
        <v/>
      </c>
      <c r="Y379" s="9" t="str">
        <f>""</f>
        <v/>
      </c>
      <c r="Z379" s="5" t="str">
        <f>""</f>
        <v/>
      </c>
      <c r="AA379" s="5" t="str">
        <f>"7,00"</f>
        <v>7,00</v>
      </c>
      <c r="AB379" s="5" t="str">
        <f>"2037"</f>
        <v>2037</v>
      </c>
      <c r="AC379" s="5" t="str">
        <f t="shared" si="643"/>
        <v>нет</v>
      </c>
      <c r="AD379" s="5" t="str">
        <f>""</f>
        <v/>
      </c>
      <c r="AE379" s="5" t="str">
        <f>""</f>
        <v/>
      </c>
      <c r="AF379" s="5" t="str">
        <f>""</f>
        <v/>
      </c>
      <c r="AG379" s="5" t="str">
        <f t="shared" si="644"/>
        <v>нет</v>
      </c>
      <c r="AH379" s="5" t="str">
        <f>""</f>
        <v/>
      </c>
      <c r="AI379" s="5" t="str">
        <f>""</f>
        <v/>
      </c>
      <c r="AJ379" s="5" t="str">
        <f>""</f>
        <v/>
      </c>
      <c r="AK379" s="8" t="str">
        <f>""</f>
        <v/>
      </c>
      <c r="AL379" s="5" t="str">
        <f>"15,00"</f>
        <v>15,00</v>
      </c>
      <c r="AM379" s="5" t="str">
        <f>"2035"</f>
        <v>2035</v>
      </c>
      <c r="AN379" s="5" t="str">
        <f t="shared" si="625"/>
        <v>нет</v>
      </c>
      <c r="AO379" s="5" t="str">
        <f>""</f>
        <v/>
      </c>
      <c r="AP379" s="5" t="str">
        <f>""</f>
        <v/>
      </c>
      <c r="AQ379" s="5" t="str">
        <f>""</f>
        <v/>
      </c>
      <c r="AR379" s="5" t="str">
        <f t="shared" si="626"/>
        <v>нет</v>
      </c>
      <c r="AS379" s="5" t="str">
        <f>""</f>
        <v/>
      </c>
      <c r="AT379" s="5" t="str">
        <f>""</f>
        <v/>
      </c>
      <c r="AU379" s="5" t="str">
        <f>""</f>
        <v/>
      </c>
      <c r="AV379" s="5" t="str">
        <f>""</f>
        <v/>
      </c>
      <c r="AW379" s="5" t="str">
        <f>"15,00"</f>
        <v>15,00</v>
      </c>
      <c r="AX379" s="5" t="str">
        <f>"2035"</f>
        <v>2035</v>
      </c>
      <c r="AY379" s="5" t="str">
        <f t="shared" si="641"/>
        <v>нет</v>
      </c>
      <c r="AZ379" s="5" t="str">
        <f>""</f>
        <v/>
      </c>
      <c r="BA379" s="5" t="str">
        <f>""</f>
        <v/>
      </c>
      <c r="BB379" s="5" t="str">
        <f>""</f>
        <v/>
      </c>
      <c r="BC379" s="5" t="str">
        <f t="shared" si="642"/>
        <v>нет</v>
      </c>
      <c r="BD379" s="5" t="str">
        <f>""</f>
        <v/>
      </c>
      <c r="BE379" s="5" t="str">
        <f>""</f>
        <v/>
      </c>
      <c r="BF379" s="5" t="str">
        <f>""</f>
        <v/>
      </c>
      <c r="BG379" s="5" t="str">
        <f>""</f>
        <v/>
      </c>
      <c r="BH379" s="5" t="str">
        <f>"20,00"</f>
        <v>20,00</v>
      </c>
      <c r="BI379" s="5" t="str">
        <f>"2035"</f>
        <v>2035</v>
      </c>
      <c r="BJ379" s="5" t="str">
        <f t="shared" si="627"/>
        <v>нет</v>
      </c>
      <c r="BK379" s="5" t="str">
        <f>""</f>
        <v/>
      </c>
      <c r="BL379" s="5" t="str">
        <f>""</f>
        <v/>
      </c>
      <c r="BM379" s="5" t="str">
        <f>""</f>
        <v/>
      </c>
      <c r="BN379" s="5" t="str">
        <f t="shared" si="628"/>
        <v>нет</v>
      </c>
      <c r="BO379" s="5" t="str">
        <f>""</f>
        <v/>
      </c>
      <c r="BP379" s="5" t="str">
        <f>""</f>
        <v/>
      </c>
      <c r="BQ379" s="5" t="str">
        <f>""</f>
        <v/>
      </c>
      <c r="BR379" s="5" t="str">
        <f>""</f>
        <v/>
      </c>
      <c r="BS379" s="5" t="str">
        <f>"15,00"</f>
        <v>15,00</v>
      </c>
      <c r="BT379" s="5" t="str">
        <f>"2022"</f>
        <v>2022</v>
      </c>
      <c r="BU379" s="5" t="str">
        <f t="shared" si="633"/>
        <v>нет</v>
      </c>
      <c r="BV379" s="5" t="str">
        <f t="shared" si="630"/>
        <v>x</v>
      </c>
      <c r="BW379" s="5" t="str">
        <f t="shared" si="630"/>
        <v>x</v>
      </c>
      <c r="BX379" s="5" t="str">
        <f t="shared" si="630"/>
        <v>x</v>
      </c>
      <c r="BY379" s="5" t="str">
        <f t="shared" si="645"/>
        <v>нет</v>
      </c>
      <c r="BZ379" s="5" t="str">
        <f t="shared" si="646"/>
        <v>x</v>
      </c>
      <c r="CA379" s="5" t="str">
        <f t="shared" si="646"/>
        <v>x</v>
      </c>
      <c r="CB379" s="5" t="str">
        <f t="shared" si="646"/>
        <v>x</v>
      </c>
      <c r="CC379" s="5" t="str">
        <f>""</f>
        <v/>
      </c>
      <c r="CD379" s="5" t="str">
        <f>"17,00"</f>
        <v>17,00</v>
      </c>
      <c r="CE379" s="5" t="str">
        <f>"2037"</f>
        <v>2037</v>
      </c>
      <c r="CF379" s="5" t="str">
        <f>""</f>
        <v/>
      </c>
      <c r="CG379" s="5" t="str">
        <f>"16,00"</f>
        <v>16,00</v>
      </c>
      <c r="CH379" s="5" t="str">
        <f>"2039"</f>
        <v>2039</v>
      </c>
      <c r="CI379" s="5" t="str">
        <f>"6,00"</f>
        <v>6,00</v>
      </c>
      <c r="CJ379" s="5" t="str">
        <f>"2044"</f>
        <v>2044</v>
      </c>
    </row>
    <row r="380" spans="1:88" ht="11.25" customHeight="1">
      <c r="A380" s="3" t="str">
        <f>"1.367"</f>
        <v>1.367</v>
      </c>
      <c r="B380" s="4" t="str">
        <f>"д. Спасское, д.2"</f>
        <v>д. Спасское, д.2</v>
      </c>
      <c r="C380" s="7" t="str">
        <f>"1989"</f>
        <v>1989</v>
      </c>
      <c r="D380" s="5" t="str">
        <f>""</f>
        <v/>
      </c>
      <c r="E380" s="5" t="str">
        <f>"15,00"</f>
        <v>15,00</v>
      </c>
      <c r="F380" s="5" t="str">
        <f>"2036"</f>
        <v>2036</v>
      </c>
      <c r="G380" s="5" t="str">
        <f>"нет"</f>
        <v>нет</v>
      </c>
      <c r="H380" s="5" t="str">
        <f>""</f>
        <v/>
      </c>
      <c r="I380" s="5" t="str">
        <f>""</f>
        <v/>
      </c>
      <c r="J380" s="5" t="str">
        <f>""</f>
        <v/>
      </c>
      <c r="K380" s="5" t="str">
        <f>"нет"</f>
        <v>нет</v>
      </c>
      <c r="L380" s="5" t="str">
        <f>""</f>
        <v/>
      </c>
      <c r="M380" s="5" t="str">
        <f>""</f>
        <v/>
      </c>
      <c r="N380" s="5" t="str">
        <f>""</f>
        <v/>
      </c>
      <c r="O380" s="8" t="str">
        <f>""</f>
        <v/>
      </c>
      <c r="P380" s="5" t="str">
        <f>"10,00"</f>
        <v>10,00</v>
      </c>
      <c r="Q380" s="5" t="str">
        <f>"2031"</f>
        <v>2031</v>
      </c>
      <c r="R380" s="5" t="str">
        <f t="shared" si="623"/>
        <v>нет</v>
      </c>
      <c r="S380" s="5" t="str">
        <f>""</f>
        <v/>
      </c>
      <c r="T380" s="5" t="str">
        <f>""</f>
        <v/>
      </c>
      <c r="U380" s="5" t="str">
        <f>""</f>
        <v/>
      </c>
      <c r="V380" s="5" t="str">
        <f t="shared" si="624"/>
        <v>нет</v>
      </c>
      <c r="W380" s="5" t="str">
        <f>""</f>
        <v/>
      </c>
      <c r="X380" s="5" t="str">
        <f>""</f>
        <v/>
      </c>
      <c r="Y380" s="9" t="str">
        <f>""</f>
        <v/>
      </c>
      <c r="Z380" s="5" t="str">
        <f>""</f>
        <v/>
      </c>
      <c r="AA380" s="5" t="str">
        <f>"7,00"</f>
        <v>7,00</v>
      </c>
      <c r="AB380" s="5" t="str">
        <f>"2035"</f>
        <v>2035</v>
      </c>
      <c r="AC380" s="5" t="str">
        <f t="shared" si="643"/>
        <v>нет</v>
      </c>
      <c r="AD380" s="5" t="str">
        <f>""</f>
        <v/>
      </c>
      <c r="AE380" s="5" t="str">
        <f>""</f>
        <v/>
      </c>
      <c r="AF380" s="5" t="str">
        <f>""</f>
        <v/>
      </c>
      <c r="AG380" s="5" t="str">
        <f t="shared" si="644"/>
        <v>нет</v>
      </c>
      <c r="AH380" s="5" t="str">
        <f>""</f>
        <v/>
      </c>
      <c r="AI380" s="5" t="str">
        <f>""</f>
        <v/>
      </c>
      <c r="AJ380" s="5" t="str">
        <f>""</f>
        <v/>
      </c>
      <c r="AK380" s="8" t="str">
        <f>""</f>
        <v/>
      </c>
      <c r="AL380" s="5" t="str">
        <f>"17,00"</f>
        <v>17,00</v>
      </c>
      <c r="AM380" s="5" t="str">
        <f>"2030"</f>
        <v>2030</v>
      </c>
      <c r="AN380" s="5" t="str">
        <f t="shared" si="625"/>
        <v>нет</v>
      </c>
      <c r="AO380" s="5" t="str">
        <f>""</f>
        <v/>
      </c>
      <c r="AP380" s="5" t="str">
        <f>""</f>
        <v/>
      </c>
      <c r="AQ380" s="5" t="str">
        <f>""</f>
        <v/>
      </c>
      <c r="AR380" s="5" t="str">
        <f t="shared" si="626"/>
        <v>нет</v>
      </c>
      <c r="AS380" s="5" t="str">
        <f>""</f>
        <v/>
      </c>
      <c r="AT380" s="5" t="str">
        <f>""</f>
        <v/>
      </c>
      <c r="AU380" s="5" t="str">
        <f>""</f>
        <v/>
      </c>
      <c r="AV380" s="5" t="str">
        <f>""</f>
        <v/>
      </c>
      <c r="AW380" s="5" t="str">
        <f>"17,00"</f>
        <v>17,00</v>
      </c>
      <c r="AX380" s="5" t="str">
        <f>"2030"</f>
        <v>2030</v>
      </c>
      <c r="AY380" s="5" t="str">
        <f t="shared" si="641"/>
        <v>нет</v>
      </c>
      <c r="AZ380" s="5" t="str">
        <f>""</f>
        <v/>
      </c>
      <c r="BA380" s="5" t="str">
        <f>""</f>
        <v/>
      </c>
      <c r="BB380" s="5" t="str">
        <f>""</f>
        <v/>
      </c>
      <c r="BC380" s="5" t="str">
        <f t="shared" si="642"/>
        <v>нет</v>
      </c>
      <c r="BD380" s="5" t="str">
        <f>""</f>
        <v/>
      </c>
      <c r="BE380" s="5" t="str">
        <f>""</f>
        <v/>
      </c>
      <c r="BF380" s="5" t="str">
        <f>""</f>
        <v/>
      </c>
      <c r="BG380" s="5" t="str">
        <f>""</f>
        <v/>
      </c>
      <c r="BH380" s="5" t="str">
        <f>"20,00"</f>
        <v>20,00</v>
      </c>
      <c r="BI380" s="5" t="str">
        <f>"2029"</f>
        <v>2029</v>
      </c>
      <c r="BJ380" s="5" t="str">
        <f t="shared" si="627"/>
        <v>нет</v>
      </c>
      <c r="BK380" s="5" t="str">
        <f>""</f>
        <v/>
      </c>
      <c r="BL380" s="5" t="str">
        <f>""</f>
        <v/>
      </c>
      <c r="BM380" s="5" t="str">
        <f>""</f>
        <v/>
      </c>
      <c r="BN380" s="5" t="str">
        <f t="shared" si="628"/>
        <v>нет</v>
      </c>
      <c r="BO380" s="5" t="str">
        <f>""</f>
        <v/>
      </c>
      <c r="BP380" s="5" t="str">
        <f>""</f>
        <v/>
      </c>
      <c r="BQ380" s="5" t="str">
        <f>""</f>
        <v/>
      </c>
      <c r="BR380" s="5" t="str">
        <f>""</f>
        <v/>
      </c>
      <c r="BS380" s="5" t="str">
        <f>"15,00"</f>
        <v>15,00</v>
      </c>
      <c r="BT380" s="5" t="str">
        <f>"2020"</f>
        <v>2020</v>
      </c>
      <c r="BU380" s="5" t="str">
        <f t="shared" si="633"/>
        <v>нет</v>
      </c>
      <c r="BV380" s="5" t="str">
        <f t="shared" ref="BV380:BX399" si="647">"x"</f>
        <v>x</v>
      </c>
      <c r="BW380" s="5" t="str">
        <f t="shared" si="647"/>
        <v>x</v>
      </c>
      <c r="BX380" s="5" t="str">
        <f t="shared" si="647"/>
        <v>x</v>
      </c>
      <c r="BY380" s="5" t="str">
        <f t="shared" si="645"/>
        <v>нет</v>
      </c>
      <c r="BZ380" s="5" t="str">
        <f t="shared" si="646"/>
        <v>x</v>
      </c>
      <c r="CA380" s="5" t="str">
        <f t="shared" si="646"/>
        <v>x</v>
      </c>
      <c r="CB380" s="5" t="str">
        <f t="shared" si="646"/>
        <v>x</v>
      </c>
      <c r="CC380" s="5" t="str">
        <f>""</f>
        <v/>
      </c>
      <c r="CD380" s="5" t="str">
        <f>"10,00"</f>
        <v>10,00</v>
      </c>
      <c r="CE380" s="5" t="str">
        <f>"2032"</f>
        <v>2032</v>
      </c>
      <c r="CF380" s="5" t="str">
        <f>""</f>
        <v/>
      </c>
      <c r="CG380" s="5" t="str">
        <f>"10,00"</f>
        <v>10,00</v>
      </c>
      <c r="CH380" s="5" t="str">
        <f>"2033"</f>
        <v>2033</v>
      </c>
      <c r="CI380" s="5" t="str">
        <f>"6,00"</f>
        <v>6,00</v>
      </c>
      <c r="CJ380" s="5" t="str">
        <f>"2042"</f>
        <v>2042</v>
      </c>
    </row>
    <row r="381" spans="1:88" ht="11.25" customHeight="1">
      <c r="A381" s="3" t="str">
        <f>"1.368"</f>
        <v>1.368</v>
      </c>
      <c r="B381" s="4" t="str">
        <f>"д. Степурино, ул. Полевая, д.10"</f>
        <v>д. Степурино, ул. Полевая, д.10</v>
      </c>
      <c r="C381" s="7" t="str">
        <f>"1967"</f>
        <v>1967</v>
      </c>
      <c r="D381" s="5" t="str">
        <f>""</f>
        <v/>
      </c>
      <c r="E381" s="5" t="str">
        <f>"50,00"</f>
        <v>50,00</v>
      </c>
      <c r="F381" s="5" t="str">
        <f>"2020"</f>
        <v>2020</v>
      </c>
      <c r="G381" s="5" t="str">
        <f t="shared" ref="G381:G393" si="648">"да"</f>
        <v>да</v>
      </c>
      <c r="H381" s="5" t="str">
        <f>""</f>
        <v/>
      </c>
      <c r="I381" s="5" t="str">
        <f>"20,00"</f>
        <v>20,00</v>
      </c>
      <c r="J381" s="5" t="str">
        <f>"2020"</f>
        <v>2020</v>
      </c>
      <c r="K381" s="5" t="str">
        <f t="shared" ref="K381:K397" si="649">"да"</f>
        <v>да</v>
      </c>
      <c r="L381" s="5" t="str">
        <f>""</f>
        <v/>
      </c>
      <c r="M381" s="5" t="str">
        <f>"20,00"</f>
        <v>20,00</v>
      </c>
      <c r="N381" s="5" t="str">
        <f>"2020"</f>
        <v>2020</v>
      </c>
      <c r="O381" s="8" t="str">
        <f>""</f>
        <v/>
      </c>
      <c r="P381" s="5" t="str">
        <f>"40,00"</f>
        <v>40,00</v>
      </c>
      <c r="Q381" s="5" t="str">
        <f>"2021"</f>
        <v>2021</v>
      </c>
      <c r="R381" s="5" t="str">
        <f t="shared" si="623"/>
        <v>нет</v>
      </c>
      <c r="S381" s="5" t="str">
        <f>""</f>
        <v/>
      </c>
      <c r="T381" s="5" t="str">
        <f>""</f>
        <v/>
      </c>
      <c r="U381" s="5" t="str">
        <f>""</f>
        <v/>
      </c>
      <c r="V381" s="5" t="str">
        <f t="shared" si="624"/>
        <v>нет</v>
      </c>
      <c r="W381" s="5" t="str">
        <f>""</f>
        <v/>
      </c>
      <c r="X381" s="5" t="str">
        <f>""</f>
        <v/>
      </c>
      <c r="Y381" s="9" t="str">
        <f>""</f>
        <v/>
      </c>
      <c r="Z381" s="5" t="str">
        <f>""</f>
        <v/>
      </c>
      <c r="AA381" s="5" t="str">
        <f>"35,00"</f>
        <v>35,00</v>
      </c>
      <c r="AB381" s="5" t="str">
        <f>"2019"</f>
        <v>2019</v>
      </c>
      <c r="AC381" s="5" t="str">
        <f t="shared" si="643"/>
        <v>нет</v>
      </c>
      <c r="AD381" s="5" t="str">
        <f>""</f>
        <v/>
      </c>
      <c r="AE381" s="5" t="str">
        <f>""</f>
        <v/>
      </c>
      <c r="AF381" s="5" t="str">
        <f>""</f>
        <v/>
      </c>
      <c r="AG381" s="5" t="str">
        <f t="shared" si="644"/>
        <v>нет</v>
      </c>
      <c r="AH381" s="5" t="str">
        <f>""</f>
        <v/>
      </c>
      <c r="AI381" s="5" t="str">
        <f>""</f>
        <v/>
      </c>
      <c r="AJ381" s="5" t="str">
        <f>""</f>
        <v/>
      </c>
      <c r="AK381" s="8" t="str">
        <f>""</f>
        <v/>
      </c>
      <c r="AL381" s="5" t="str">
        <f>"30,00"</f>
        <v>30,00</v>
      </c>
      <c r="AM381" s="5" t="str">
        <f>"2022"</f>
        <v>2022</v>
      </c>
      <c r="AN381" s="5" t="str">
        <f t="shared" si="625"/>
        <v>нет</v>
      </c>
      <c r="AO381" s="5" t="str">
        <f>""</f>
        <v/>
      </c>
      <c r="AP381" s="5" t="str">
        <f>""</f>
        <v/>
      </c>
      <c r="AQ381" s="5" t="str">
        <f>""</f>
        <v/>
      </c>
      <c r="AR381" s="5" t="str">
        <f t="shared" si="626"/>
        <v>нет</v>
      </c>
      <c r="AS381" s="5" t="str">
        <f>""</f>
        <v/>
      </c>
      <c r="AT381" s="5" t="str">
        <f>""</f>
        <v/>
      </c>
      <c r="AU381" s="5" t="str">
        <f>""</f>
        <v/>
      </c>
      <c r="AV381" s="5" t="str">
        <f t="shared" ref="AV381:BF389" si="650">"х"</f>
        <v>х</v>
      </c>
      <c r="AW381" s="5" t="str">
        <f t="shared" si="650"/>
        <v>х</v>
      </c>
      <c r="AX381" s="5" t="str">
        <f t="shared" si="650"/>
        <v>х</v>
      </c>
      <c r="AY381" s="5" t="str">
        <f t="shared" si="650"/>
        <v>х</v>
      </c>
      <c r="AZ381" s="5" t="str">
        <f t="shared" si="650"/>
        <v>х</v>
      </c>
      <c r="BA381" s="5" t="str">
        <f t="shared" si="650"/>
        <v>х</v>
      </c>
      <c r="BB381" s="5" t="str">
        <f t="shared" si="650"/>
        <v>х</v>
      </c>
      <c r="BC381" s="5" t="str">
        <f t="shared" si="650"/>
        <v>х</v>
      </c>
      <c r="BD381" s="5" t="str">
        <f t="shared" si="650"/>
        <v>х</v>
      </c>
      <c r="BE381" s="5" t="str">
        <f t="shared" si="650"/>
        <v>х</v>
      </c>
      <c r="BF381" s="5" t="str">
        <f t="shared" si="650"/>
        <v>х</v>
      </c>
      <c r="BG381" s="5" t="str">
        <f>""</f>
        <v/>
      </c>
      <c r="BH381" s="5" t="str">
        <f>"30,00"</f>
        <v>30,00</v>
      </c>
      <c r="BI381" s="5" t="str">
        <f>"2023"</f>
        <v>2023</v>
      </c>
      <c r="BJ381" s="5" t="str">
        <f t="shared" si="627"/>
        <v>нет</v>
      </c>
      <c r="BK381" s="5" t="str">
        <f>""</f>
        <v/>
      </c>
      <c r="BL381" s="5" t="str">
        <f>""</f>
        <v/>
      </c>
      <c r="BM381" s="5" t="str">
        <f>""</f>
        <v/>
      </c>
      <c r="BN381" s="5" t="str">
        <f t="shared" si="628"/>
        <v>нет</v>
      </c>
      <c r="BO381" s="5" t="str">
        <f>""</f>
        <v/>
      </c>
      <c r="BP381" s="5" t="str">
        <f>""</f>
        <v/>
      </c>
      <c r="BQ381" s="5" t="str">
        <f>""</f>
        <v/>
      </c>
      <c r="BR381" s="5" t="str">
        <f>""</f>
        <v/>
      </c>
      <c r="BS381" s="5" t="str">
        <f>"55,00"</f>
        <v>55,00</v>
      </c>
      <c r="BT381" s="5" t="str">
        <f>"2018"</f>
        <v>2018</v>
      </c>
      <c r="BU381" s="5" t="str">
        <f t="shared" si="633"/>
        <v>нет</v>
      </c>
      <c r="BV381" s="5" t="str">
        <f t="shared" si="647"/>
        <v>x</v>
      </c>
      <c r="BW381" s="5" t="str">
        <f t="shared" si="647"/>
        <v>x</v>
      </c>
      <c r="BX381" s="5" t="str">
        <f t="shared" si="647"/>
        <v>x</v>
      </c>
      <c r="BY381" s="5" t="str">
        <f t="shared" si="645"/>
        <v>нет</v>
      </c>
      <c r="BZ381" s="5" t="str">
        <f t="shared" si="646"/>
        <v>x</v>
      </c>
      <c r="CA381" s="5" t="str">
        <f t="shared" si="646"/>
        <v>x</v>
      </c>
      <c r="CB381" s="5" t="str">
        <f t="shared" si="646"/>
        <v>x</v>
      </c>
      <c r="CC381" s="5" t="str">
        <f>""</f>
        <v/>
      </c>
      <c r="CD381" s="5" t="str">
        <f>"30,00"</f>
        <v>30,00</v>
      </c>
      <c r="CE381" s="5" t="str">
        <f>"2026"</f>
        <v>2026</v>
      </c>
      <c r="CF381" s="5" t="str">
        <f>""</f>
        <v/>
      </c>
      <c r="CG381" s="5" t="str">
        <f>"25,00"</f>
        <v>25,00</v>
      </c>
      <c r="CH381" s="5" t="str">
        <f>"2028"</f>
        <v>2028</v>
      </c>
      <c r="CI381" s="5" t="str">
        <f>"48,00"</f>
        <v>48,00</v>
      </c>
      <c r="CJ381" s="5" t="str">
        <f>"2044"</f>
        <v>2044</v>
      </c>
    </row>
    <row r="382" spans="1:88" ht="11.25" customHeight="1">
      <c r="A382" s="3" t="str">
        <f>"1.369"</f>
        <v>1.369</v>
      </c>
      <c r="B382" s="4" t="str">
        <f>"д. Степурино, ул. Полевая, д.11"</f>
        <v>д. Степурино, ул. Полевая, д.11</v>
      </c>
      <c r="C382" s="7" t="str">
        <f>"1985"</f>
        <v>1985</v>
      </c>
      <c r="D382" s="5" t="str">
        <f>""</f>
        <v/>
      </c>
      <c r="E382" s="5" t="str">
        <f>"10,00"</f>
        <v>10,00</v>
      </c>
      <c r="F382" s="5" t="str">
        <f>"2030"</f>
        <v>2030</v>
      </c>
      <c r="G382" s="5" t="str">
        <f t="shared" si="648"/>
        <v>да</v>
      </c>
      <c r="H382" s="5" t="str">
        <f>""</f>
        <v/>
      </c>
      <c r="I382" s="5" t="str">
        <f>"5,00"</f>
        <v>5,00</v>
      </c>
      <c r="J382" s="5" t="str">
        <f>"2030"</f>
        <v>2030</v>
      </c>
      <c r="K382" s="5" t="str">
        <f t="shared" si="649"/>
        <v>да</v>
      </c>
      <c r="L382" s="5" t="str">
        <f>""</f>
        <v/>
      </c>
      <c r="M382" s="5" t="str">
        <f>"5,00"</f>
        <v>5,00</v>
      </c>
      <c r="N382" s="5" t="str">
        <f>"2030"</f>
        <v>2030</v>
      </c>
      <c r="O382" s="8" t="str">
        <f>""</f>
        <v/>
      </c>
      <c r="P382" s="5" t="str">
        <f>"5,00"</f>
        <v>5,00</v>
      </c>
      <c r="Q382" s="5" t="str">
        <f>"2031"</f>
        <v>2031</v>
      </c>
      <c r="R382" s="5" t="str">
        <f t="shared" si="623"/>
        <v>нет</v>
      </c>
      <c r="S382" s="5" t="str">
        <f>""</f>
        <v/>
      </c>
      <c r="T382" s="5" t="str">
        <f>""</f>
        <v/>
      </c>
      <c r="U382" s="5" t="str">
        <f>""</f>
        <v/>
      </c>
      <c r="V382" s="5" t="str">
        <f t="shared" si="624"/>
        <v>нет</v>
      </c>
      <c r="W382" s="5" t="str">
        <f>""</f>
        <v/>
      </c>
      <c r="X382" s="5" t="str">
        <f>""</f>
        <v/>
      </c>
      <c r="Y382" s="9" t="str">
        <f>""</f>
        <v/>
      </c>
      <c r="Z382" s="5" t="str">
        <f>""</f>
        <v/>
      </c>
      <c r="AA382" s="5" t="str">
        <f>"3,00"</f>
        <v>3,00</v>
      </c>
      <c r="AB382" s="5" t="str">
        <f>"2035"</f>
        <v>2035</v>
      </c>
      <c r="AC382" s="5" t="str">
        <f t="shared" si="643"/>
        <v>нет</v>
      </c>
      <c r="AD382" s="5" t="str">
        <f>""</f>
        <v/>
      </c>
      <c r="AE382" s="5" t="str">
        <f>""</f>
        <v/>
      </c>
      <c r="AF382" s="5" t="str">
        <f>""</f>
        <v/>
      </c>
      <c r="AG382" s="5" t="str">
        <f t="shared" si="644"/>
        <v>нет</v>
      </c>
      <c r="AH382" s="5" t="str">
        <f>""</f>
        <v/>
      </c>
      <c r="AI382" s="5" t="str">
        <f>""</f>
        <v/>
      </c>
      <c r="AJ382" s="5" t="str">
        <f>""</f>
        <v/>
      </c>
      <c r="AK382" s="8" t="str">
        <f>""</f>
        <v/>
      </c>
      <c r="AL382" s="5" t="str">
        <f>"8,00"</f>
        <v>8,00</v>
      </c>
      <c r="AM382" s="5" t="str">
        <f>"2034"</f>
        <v>2034</v>
      </c>
      <c r="AN382" s="5" t="str">
        <f t="shared" si="625"/>
        <v>нет</v>
      </c>
      <c r="AO382" s="5" t="str">
        <f>""</f>
        <v/>
      </c>
      <c r="AP382" s="5" t="str">
        <f>""</f>
        <v/>
      </c>
      <c r="AQ382" s="5" t="str">
        <f>""</f>
        <v/>
      </c>
      <c r="AR382" s="5" t="str">
        <f t="shared" si="626"/>
        <v>нет</v>
      </c>
      <c r="AS382" s="5" t="str">
        <f>""</f>
        <v/>
      </c>
      <c r="AT382" s="5" t="str">
        <f>""</f>
        <v/>
      </c>
      <c r="AU382" s="5" t="str">
        <f>""</f>
        <v/>
      </c>
      <c r="AV382" s="5" t="str">
        <f t="shared" si="650"/>
        <v>х</v>
      </c>
      <c r="AW382" s="5" t="str">
        <f t="shared" si="650"/>
        <v>х</v>
      </c>
      <c r="AX382" s="5" t="str">
        <f t="shared" si="650"/>
        <v>х</v>
      </c>
      <c r="AY382" s="5" t="str">
        <f t="shared" si="650"/>
        <v>х</v>
      </c>
      <c r="AZ382" s="5" t="str">
        <f t="shared" si="650"/>
        <v>х</v>
      </c>
      <c r="BA382" s="5" t="str">
        <f t="shared" si="650"/>
        <v>х</v>
      </c>
      <c r="BB382" s="5" t="str">
        <f t="shared" si="650"/>
        <v>х</v>
      </c>
      <c r="BC382" s="5" t="str">
        <f t="shared" si="650"/>
        <v>х</v>
      </c>
      <c r="BD382" s="5" t="str">
        <f t="shared" si="650"/>
        <v>х</v>
      </c>
      <c r="BE382" s="5" t="str">
        <f t="shared" si="650"/>
        <v>х</v>
      </c>
      <c r="BF382" s="5" t="str">
        <f t="shared" si="650"/>
        <v>х</v>
      </c>
      <c r="BG382" s="5" t="str">
        <f>""</f>
        <v/>
      </c>
      <c r="BH382" s="5" t="str">
        <f>"10,00"</f>
        <v>10,00</v>
      </c>
      <c r="BI382" s="5" t="str">
        <f>"2033"</f>
        <v>2033</v>
      </c>
      <c r="BJ382" s="5" t="str">
        <f t="shared" si="627"/>
        <v>нет</v>
      </c>
      <c r="BK382" s="5" t="str">
        <f>""</f>
        <v/>
      </c>
      <c r="BL382" s="5" t="str">
        <f>""</f>
        <v/>
      </c>
      <c r="BM382" s="5" t="str">
        <f>""</f>
        <v/>
      </c>
      <c r="BN382" s="5" t="str">
        <f t="shared" si="628"/>
        <v>нет</v>
      </c>
      <c r="BO382" s="5" t="str">
        <f>""</f>
        <v/>
      </c>
      <c r="BP382" s="5" t="str">
        <f>""</f>
        <v/>
      </c>
      <c r="BQ382" s="5" t="str">
        <f>""</f>
        <v/>
      </c>
      <c r="BR382" s="5" t="str">
        <f>""</f>
        <v/>
      </c>
      <c r="BS382" s="5" t="str">
        <f>"10,00"</f>
        <v>10,00</v>
      </c>
      <c r="BT382" s="5" t="str">
        <f>"2022"</f>
        <v>2022</v>
      </c>
      <c r="BU382" s="5" t="str">
        <f t="shared" si="633"/>
        <v>нет</v>
      </c>
      <c r="BV382" s="5" t="str">
        <f t="shared" si="647"/>
        <v>x</v>
      </c>
      <c r="BW382" s="5" t="str">
        <f t="shared" si="647"/>
        <v>x</v>
      </c>
      <c r="BX382" s="5" t="str">
        <f t="shared" si="647"/>
        <v>x</v>
      </c>
      <c r="BY382" s="5" t="str">
        <f t="shared" si="645"/>
        <v>нет</v>
      </c>
      <c r="BZ382" s="5" t="str">
        <f t="shared" si="646"/>
        <v>x</v>
      </c>
      <c r="CA382" s="5" t="str">
        <f t="shared" si="646"/>
        <v>x</v>
      </c>
      <c r="CB382" s="5" t="str">
        <f t="shared" si="646"/>
        <v>x</v>
      </c>
      <c r="CC382" s="5" t="str">
        <f>""</f>
        <v/>
      </c>
      <c r="CD382" s="5" t="str">
        <f>"10,00"</f>
        <v>10,00</v>
      </c>
      <c r="CE382" s="5" t="str">
        <f>"2030"</f>
        <v>2030</v>
      </c>
      <c r="CF382" s="5" t="str">
        <f>""</f>
        <v/>
      </c>
      <c r="CG382" s="5" t="str">
        <f>"10,00"</f>
        <v>10,00</v>
      </c>
      <c r="CH382" s="5" t="str">
        <f>"2031"</f>
        <v>2031</v>
      </c>
      <c r="CI382" s="5" t="str">
        <f>"6,00"</f>
        <v>6,00</v>
      </c>
      <c r="CJ382" s="5" t="str">
        <f>"2044"</f>
        <v>2044</v>
      </c>
    </row>
    <row r="383" spans="1:88" ht="11.25" customHeight="1">
      <c r="A383" s="3" t="str">
        <f>"1.370"</f>
        <v>1.370</v>
      </c>
      <c r="B383" s="4" t="str">
        <f>"д. Степурино, ул. Полевая, д.12"</f>
        <v>д. Степурино, ул. Полевая, д.12</v>
      </c>
      <c r="C383" s="7" t="str">
        <f>"1970"</f>
        <v>1970</v>
      </c>
      <c r="D383" s="5" t="str">
        <f>""</f>
        <v/>
      </c>
      <c r="E383" s="5" t="str">
        <f>"25,00"</f>
        <v>25,00</v>
      </c>
      <c r="F383" s="5" t="str">
        <f>"2032"</f>
        <v>2032</v>
      </c>
      <c r="G383" s="5" t="str">
        <f t="shared" si="648"/>
        <v>да</v>
      </c>
      <c r="H383" s="5" t="str">
        <f>""</f>
        <v/>
      </c>
      <c r="I383" s="5" t="str">
        <f>"20,00"</f>
        <v>20,00</v>
      </c>
      <c r="J383" s="5" t="str">
        <f>"2032"</f>
        <v>2032</v>
      </c>
      <c r="K383" s="5" t="str">
        <f t="shared" si="649"/>
        <v>да</v>
      </c>
      <c r="L383" s="5" t="str">
        <f>""</f>
        <v/>
      </c>
      <c r="M383" s="5" t="str">
        <f>"20,00"</f>
        <v>20,00</v>
      </c>
      <c r="N383" s="5" t="str">
        <f>"2032"</f>
        <v>2032</v>
      </c>
      <c r="O383" s="8" t="str">
        <f>""</f>
        <v/>
      </c>
      <c r="P383" s="5" t="str">
        <f>"35,00"</f>
        <v>35,00</v>
      </c>
      <c r="Q383" s="5" t="str">
        <f>"2031"</f>
        <v>2031</v>
      </c>
      <c r="R383" s="5" t="str">
        <f t="shared" si="623"/>
        <v>нет</v>
      </c>
      <c r="S383" s="5" t="str">
        <f>""</f>
        <v/>
      </c>
      <c r="T383" s="5" t="str">
        <f>""</f>
        <v/>
      </c>
      <c r="U383" s="5" t="str">
        <f>""</f>
        <v/>
      </c>
      <c r="V383" s="5" t="str">
        <f t="shared" si="624"/>
        <v>нет</v>
      </c>
      <c r="W383" s="5" t="str">
        <f>""</f>
        <v/>
      </c>
      <c r="X383" s="5" t="str">
        <f>""</f>
        <v/>
      </c>
      <c r="Y383" s="9" t="str">
        <f>""</f>
        <v/>
      </c>
      <c r="Z383" s="5" t="str">
        <f>""</f>
        <v/>
      </c>
      <c r="AA383" s="5" t="str">
        <f>"15,00"</f>
        <v>15,00</v>
      </c>
      <c r="AB383" s="5" t="str">
        <f>"2035"</f>
        <v>2035</v>
      </c>
      <c r="AC383" s="5" t="str">
        <f t="shared" si="643"/>
        <v>нет</v>
      </c>
      <c r="AD383" s="5" t="str">
        <f>""</f>
        <v/>
      </c>
      <c r="AE383" s="5" t="str">
        <f>""</f>
        <v/>
      </c>
      <c r="AF383" s="5" t="str">
        <f>""</f>
        <v/>
      </c>
      <c r="AG383" s="5" t="str">
        <f t="shared" si="644"/>
        <v>нет</v>
      </c>
      <c r="AH383" s="5" t="str">
        <f>""</f>
        <v/>
      </c>
      <c r="AI383" s="5" t="str">
        <f>""</f>
        <v/>
      </c>
      <c r="AJ383" s="5" t="str">
        <f>""</f>
        <v/>
      </c>
      <c r="AK383" s="8" t="str">
        <f>""</f>
        <v/>
      </c>
      <c r="AL383" s="5" t="str">
        <f>"20,00"</f>
        <v>20,00</v>
      </c>
      <c r="AM383" s="5" t="str">
        <f>"2029"</f>
        <v>2029</v>
      </c>
      <c r="AN383" s="5" t="str">
        <f t="shared" si="625"/>
        <v>нет</v>
      </c>
      <c r="AO383" s="5" t="str">
        <f>""</f>
        <v/>
      </c>
      <c r="AP383" s="5" t="str">
        <f>""</f>
        <v/>
      </c>
      <c r="AQ383" s="5" t="str">
        <f>""</f>
        <v/>
      </c>
      <c r="AR383" s="5" t="str">
        <f t="shared" si="626"/>
        <v>нет</v>
      </c>
      <c r="AS383" s="5" t="str">
        <f>""</f>
        <v/>
      </c>
      <c r="AT383" s="5" t="str">
        <f>""</f>
        <v/>
      </c>
      <c r="AU383" s="5" t="str">
        <f>""</f>
        <v/>
      </c>
      <c r="AV383" s="5" t="str">
        <f t="shared" si="650"/>
        <v>х</v>
      </c>
      <c r="AW383" s="5" t="str">
        <f t="shared" si="650"/>
        <v>х</v>
      </c>
      <c r="AX383" s="5" t="str">
        <f t="shared" si="650"/>
        <v>х</v>
      </c>
      <c r="AY383" s="5" t="str">
        <f t="shared" si="650"/>
        <v>х</v>
      </c>
      <c r="AZ383" s="5" t="str">
        <f t="shared" si="650"/>
        <v>х</v>
      </c>
      <c r="BA383" s="5" t="str">
        <f t="shared" si="650"/>
        <v>х</v>
      </c>
      <c r="BB383" s="5" t="str">
        <f t="shared" si="650"/>
        <v>х</v>
      </c>
      <c r="BC383" s="5" t="str">
        <f t="shared" si="650"/>
        <v>х</v>
      </c>
      <c r="BD383" s="5" t="str">
        <f t="shared" si="650"/>
        <v>х</v>
      </c>
      <c r="BE383" s="5" t="str">
        <f t="shared" si="650"/>
        <v>х</v>
      </c>
      <c r="BF383" s="5" t="str">
        <f t="shared" si="650"/>
        <v>х</v>
      </c>
      <c r="BG383" s="5" t="str">
        <f>""</f>
        <v/>
      </c>
      <c r="BH383" s="5" t="str">
        <f>"35,00"</f>
        <v>35,00</v>
      </c>
      <c r="BI383" s="5" t="str">
        <f>"2028"</f>
        <v>2028</v>
      </c>
      <c r="BJ383" s="5" t="str">
        <f t="shared" si="627"/>
        <v>нет</v>
      </c>
      <c r="BK383" s="5" t="str">
        <f>""</f>
        <v/>
      </c>
      <c r="BL383" s="5" t="str">
        <f>""</f>
        <v/>
      </c>
      <c r="BM383" s="5" t="str">
        <f>""</f>
        <v/>
      </c>
      <c r="BN383" s="5" t="str">
        <f t="shared" si="628"/>
        <v>нет</v>
      </c>
      <c r="BO383" s="5" t="str">
        <f>""</f>
        <v/>
      </c>
      <c r="BP383" s="5" t="str">
        <f>""</f>
        <v/>
      </c>
      <c r="BQ383" s="5" t="str">
        <f>""</f>
        <v/>
      </c>
      <c r="BR383" s="5" t="str">
        <f>""</f>
        <v/>
      </c>
      <c r="BS383" s="5" t="str">
        <f>"25,00"</f>
        <v>25,00</v>
      </c>
      <c r="BT383" s="5" t="str">
        <f>"2021"</f>
        <v>2021</v>
      </c>
      <c r="BU383" s="5" t="str">
        <f t="shared" si="633"/>
        <v>нет</v>
      </c>
      <c r="BV383" s="5" t="str">
        <f t="shared" si="647"/>
        <v>x</v>
      </c>
      <c r="BW383" s="5" t="str">
        <f t="shared" si="647"/>
        <v>x</v>
      </c>
      <c r="BX383" s="5" t="str">
        <f t="shared" si="647"/>
        <v>x</v>
      </c>
      <c r="BY383" s="5" t="str">
        <f t="shared" si="645"/>
        <v>нет</v>
      </c>
      <c r="BZ383" s="5" t="str">
        <f t="shared" si="646"/>
        <v>x</v>
      </c>
      <c r="CA383" s="5" t="str">
        <f t="shared" si="646"/>
        <v>x</v>
      </c>
      <c r="CB383" s="5" t="str">
        <f t="shared" si="646"/>
        <v>x</v>
      </c>
      <c r="CC383" s="5" t="str">
        <f>""</f>
        <v/>
      </c>
      <c r="CD383" s="5" t="str">
        <f>"30,00"</f>
        <v>30,00</v>
      </c>
      <c r="CE383" s="5" t="str">
        <f>"2029"</f>
        <v>2029</v>
      </c>
      <c r="CF383" s="5" t="str">
        <f>""</f>
        <v/>
      </c>
      <c r="CG383" s="5" t="str">
        <f>"30,00"</f>
        <v>30,00</v>
      </c>
      <c r="CH383" s="5" t="str">
        <f>"2030"</f>
        <v>2030</v>
      </c>
      <c r="CI383" s="5" t="str">
        <f>"24,00"</f>
        <v>24,00</v>
      </c>
      <c r="CJ383" s="5" t="str">
        <f>"2043"</f>
        <v>2043</v>
      </c>
    </row>
    <row r="384" spans="1:88" ht="11.25" customHeight="1">
      <c r="A384" s="3" t="str">
        <f>"1.371"</f>
        <v>1.371</v>
      </c>
      <c r="B384" s="4" t="str">
        <f>"д. Степурино, ул. Полевая, д.15"</f>
        <v>д. Степурино, ул. Полевая, д.15</v>
      </c>
      <c r="C384" s="7" t="str">
        <f>"2003"</f>
        <v>2003</v>
      </c>
      <c r="D384" s="5" t="str">
        <f>""</f>
        <v/>
      </c>
      <c r="E384" s="5" t="str">
        <f>"12,00"</f>
        <v>12,00</v>
      </c>
      <c r="F384" s="5" t="str">
        <f>"2033"</f>
        <v>2033</v>
      </c>
      <c r="G384" s="5" t="str">
        <f t="shared" si="648"/>
        <v>да</v>
      </c>
      <c r="H384" s="5" t="str">
        <f>""</f>
        <v/>
      </c>
      <c r="I384" s="5" t="str">
        <f>"10,00"</f>
        <v>10,00</v>
      </c>
      <c r="J384" s="5" t="str">
        <f>"2033"</f>
        <v>2033</v>
      </c>
      <c r="K384" s="5" t="str">
        <f t="shared" si="649"/>
        <v>да</v>
      </c>
      <c r="L384" s="5" t="str">
        <f>""</f>
        <v/>
      </c>
      <c r="M384" s="5" t="str">
        <f>"10,00"</f>
        <v>10,00</v>
      </c>
      <c r="N384" s="5" t="str">
        <f>"2033"</f>
        <v>2033</v>
      </c>
      <c r="O384" s="8" t="str">
        <f>""</f>
        <v/>
      </c>
      <c r="P384" s="5" t="str">
        <f>"20,00"</f>
        <v>20,00</v>
      </c>
      <c r="Q384" s="5" t="str">
        <f>"2030"</f>
        <v>2030</v>
      </c>
      <c r="R384" s="5" t="str">
        <f t="shared" si="623"/>
        <v>нет</v>
      </c>
      <c r="S384" s="5" t="str">
        <f>""</f>
        <v/>
      </c>
      <c r="T384" s="5" t="str">
        <f>""</f>
        <v/>
      </c>
      <c r="U384" s="5" t="str">
        <f>""</f>
        <v/>
      </c>
      <c r="V384" s="5" t="str">
        <f t="shared" si="624"/>
        <v>нет</v>
      </c>
      <c r="W384" s="5" t="str">
        <f>""</f>
        <v/>
      </c>
      <c r="X384" s="5" t="str">
        <f>""</f>
        <v/>
      </c>
      <c r="Y384" s="9" t="str">
        <f>""</f>
        <v/>
      </c>
      <c r="Z384" s="5" t="str">
        <f>""</f>
        <v/>
      </c>
      <c r="AA384" s="5" t="str">
        <f>"7,00"</f>
        <v>7,00</v>
      </c>
      <c r="AB384" s="5" t="str">
        <f>"2035"</f>
        <v>2035</v>
      </c>
      <c r="AC384" s="5" t="str">
        <f t="shared" si="643"/>
        <v>нет</v>
      </c>
      <c r="AD384" s="5" t="str">
        <f>""</f>
        <v/>
      </c>
      <c r="AE384" s="5" t="str">
        <f>""</f>
        <v/>
      </c>
      <c r="AF384" s="5" t="str">
        <f>""</f>
        <v/>
      </c>
      <c r="AG384" s="5" t="str">
        <f t="shared" si="644"/>
        <v>нет</v>
      </c>
      <c r="AH384" s="5" t="str">
        <f>""</f>
        <v/>
      </c>
      <c r="AI384" s="5" t="str">
        <f>""</f>
        <v/>
      </c>
      <c r="AJ384" s="5" t="str">
        <f>""</f>
        <v/>
      </c>
      <c r="AK384" s="8" t="str">
        <f>""</f>
        <v/>
      </c>
      <c r="AL384" s="5" t="str">
        <f>"15,00"</f>
        <v>15,00</v>
      </c>
      <c r="AM384" s="5" t="str">
        <f>"2032"</f>
        <v>2032</v>
      </c>
      <c r="AN384" s="5" t="str">
        <f t="shared" si="625"/>
        <v>нет</v>
      </c>
      <c r="AO384" s="5" t="str">
        <f>""</f>
        <v/>
      </c>
      <c r="AP384" s="5" t="str">
        <f>""</f>
        <v/>
      </c>
      <c r="AQ384" s="5" t="str">
        <f>""</f>
        <v/>
      </c>
      <c r="AR384" s="5" t="str">
        <f t="shared" si="626"/>
        <v>нет</v>
      </c>
      <c r="AS384" s="5" t="str">
        <f>""</f>
        <v/>
      </c>
      <c r="AT384" s="5" t="str">
        <f>""</f>
        <v/>
      </c>
      <c r="AU384" s="5" t="str">
        <f>""</f>
        <v/>
      </c>
      <c r="AV384" s="5" t="str">
        <f t="shared" si="650"/>
        <v>х</v>
      </c>
      <c r="AW384" s="5" t="str">
        <f t="shared" si="650"/>
        <v>х</v>
      </c>
      <c r="AX384" s="5" t="str">
        <f t="shared" si="650"/>
        <v>х</v>
      </c>
      <c r="AY384" s="5" t="str">
        <f t="shared" si="650"/>
        <v>х</v>
      </c>
      <c r="AZ384" s="5" t="str">
        <f t="shared" si="650"/>
        <v>х</v>
      </c>
      <c r="BA384" s="5" t="str">
        <f t="shared" si="650"/>
        <v>х</v>
      </c>
      <c r="BB384" s="5" t="str">
        <f t="shared" si="650"/>
        <v>х</v>
      </c>
      <c r="BC384" s="5" t="str">
        <f t="shared" si="650"/>
        <v>х</v>
      </c>
      <c r="BD384" s="5" t="str">
        <f t="shared" si="650"/>
        <v>х</v>
      </c>
      <c r="BE384" s="5" t="str">
        <f t="shared" si="650"/>
        <v>х</v>
      </c>
      <c r="BF384" s="5" t="str">
        <f t="shared" si="650"/>
        <v>х</v>
      </c>
      <c r="BG384" s="5" t="str">
        <f>""</f>
        <v/>
      </c>
      <c r="BH384" s="5" t="str">
        <f>"12,00"</f>
        <v>12,00</v>
      </c>
      <c r="BI384" s="5" t="str">
        <f>"2034"</f>
        <v>2034</v>
      </c>
      <c r="BJ384" s="5" t="str">
        <f t="shared" si="627"/>
        <v>нет</v>
      </c>
      <c r="BK384" s="5" t="str">
        <f>""</f>
        <v/>
      </c>
      <c r="BL384" s="5" t="str">
        <f>""</f>
        <v/>
      </c>
      <c r="BM384" s="5" t="str">
        <f>""</f>
        <v/>
      </c>
      <c r="BN384" s="5" t="str">
        <f t="shared" si="628"/>
        <v>нет</v>
      </c>
      <c r="BO384" s="5" t="str">
        <f>""</f>
        <v/>
      </c>
      <c r="BP384" s="5" t="str">
        <f>""</f>
        <v/>
      </c>
      <c r="BQ384" s="5" t="str">
        <f>""</f>
        <v/>
      </c>
      <c r="BR384" s="5" t="str">
        <f>""</f>
        <v/>
      </c>
      <c r="BS384" s="5" t="str">
        <f>"15,00"</f>
        <v>15,00</v>
      </c>
      <c r="BT384" s="5" t="str">
        <f>"2022"</f>
        <v>2022</v>
      </c>
      <c r="BU384" s="5" t="str">
        <f t="shared" si="633"/>
        <v>нет</v>
      </c>
      <c r="BV384" s="5" t="str">
        <f t="shared" si="647"/>
        <v>x</v>
      </c>
      <c r="BW384" s="5" t="str">
        <f t="shared" si="647"/>
        <v>x</v>
      </c>
      <c r="BX384" s="5" t="str">
        <f t="shared" si="647"/>
        <v>x</v>
      </c>
      <c r="BY384" s="5" t="str">
        <f t="shared" si="645"/>
        <v>нет</v>
      </c>
      <c r="BZ384" s="5" t="str">
        <f t="shared" si="646"/>
        <v>x</v>
      </c>
      <c r="CA384" s="5" t="str">
        <f t="shared" si="646"/>
        <v>x</v>
      </c>
      <c r="CB384" s="5" t="str">
        <f t="shared" si="646"/>
        <v>x</v>
      </c>
      <c r="CC384" s="5" t="str">
        <f>""</f>
        <v/>
      </c>
      <c r="CD384" s="5" t="str">
        <f>"10,00"</f>
        <v>10,00</v>
      </c>
      <c r="CE384" s="5" t="str">
        <f>"2036"</f>
        <v>2036</v>
      </c>
      <c r="CF384" s="5" t="str">
        <f>""</f>
        <v/>
      </c>
      <c r="CG384" s="5" t="str">
        <f>"10,00"</f>
        <v>10,00</v>
      </c>
      <c r="CH384" s="5" t="str">
        <f>"2037"</f>
        <v>2037</v>
      </c>
      <c r="CI384" s="5" t="str">
        <f>"11,00"</f>
        <v>11,00</v>
      </c>
      <c r="CJ384" s="5" t="str">
        <f>"2042"</f>
        <v>2042</v>
      </c>
    </row>
    <row r="385" spans="1:88" ht="11.25" customHeight="1">
      <c r="A385" s="3" t="str">
        <f>"1.372"</f>
        <v>1.372</v>
      </c>
      <c r="B385" s="4" t="str">
        <f>"д. Степурино, ул. Полевая, д.2"</f>
        <v>д. Степурино, ул. Полевая, д.2</v>
      </c>
      <c r="C385" s="7" t="str">
        <f>"1977"</f>
        <v>1977</v>
      </c>
      <c r="D385" s="5" t="str">
        <f>""</f>
        <v/>
      </c>
      <c r="E385" s="5" t="str">
        <f>"35,00"</f>
        <v>35,00</v>
      </c>
      <c r="F385" s="5" t="str">
        <f>"2026"</f>
        <v>2026</v>
      </c>
      <c r="G385" s="5" t="str">
        <f t="shared" si="648"/>
        <v>да</v>
      </c>
      <c r="H385" s="5" t="str">
        <f>""</f>
        <v/>
      </c>
      <c r="I385" s="5" t="str">
        <f>"30,00"</f>
        <v>30,00</v>
      </c>
      <c r="J385" s="5" t="str">
        <f>"2026"</f>
        <v>2026</v>
      </c>
      <c r="K385" s="5" t="str">
        <f t="shared" si="649"/>
        <v>да</v>
      </c>
      <c r="L385" s="5" t="str">
        <f>""</f>
        <v/>
      </c>
      <c r="M385" s="5" t="str">
        <f>"30,00"</f>
        <v>30,00</v>
      </c>
      <c r="N385" s="5" t="str">
        <f>"2026"</f>
        <v>2026</v>
      </c>
      <c r="O385" s="8" t="str">
        <f>""</f>
        <v/>
      </c>
      <c r="P385" s="5" t="str">
        <f>"25,00"</f>
        <v>25,00</v>
      </c>
      <c r="Q385" s="5" t="str">
        <f>"2028"</f>
        <v>2028</v>
      </c>
      <c r="R385" s="5" t="str">
        <f t="shared" si="623"/>
        <v>нет</v>
      </c>
      <c r="S385" s="5" t="str">
        <f>""</f>
        <v/>
      </c>
      <c r="T385" s="5" t="str">
        <f>""</f>
        <v/>
      </c>
      <c r="U385" s="5" t="str">
        <f>""</f>
        <v/>
      </c>
      <c r="V385" s="5" t="str">
        <f t="shared" si="624"/>
        <v>нет</v>
      </c>
      <c r="W385" s="5" t="str">
        <f>""</f>
        <v/>
      </c>
      <c r="X385" s="5" t="str">
        <f>""</f>
        <v/>
      </c>
      <c r="Y385" s="9" t="str">
        <f>""</f>
        <v/>
      </c>
      <c r="Z385" s="5" t="str">
        <f>""</f>
        <v/>
      </c>
      <c r="AA385" s="5" t="str">
        <f>"15,00"</f>
        <v>15,00</v>
      </c>
      <c r="AB385" s="5" t="str">
        <f>"2030"</f>
        <v>2030</v>
      </c>
      <c r="AC385" s="5" t="str">
        <f t="shared" si="643"/>
        <v>нет</v>
      </c>
      <c r="AD385" s="5" t="str">
        <f>""</f>
        <v/>
      </c>
      <c r="AE385" s="5" t="str">
        <f>""</f>
        <v/>
      </c>
      <c r="AF385" s="5" t="str">
        <f>""</f>
        <v/>
      </c>
      <c r="AG385" s="5" t="str">
        <f t="shared" si="644"/>
        <v>нет</v>
      </c>
      <c r="AH385" s="5" t="str">
        <f>""</f>
        <v/>
      </c>
      <c r="AI385" s="5" t="str">
        <f>""</f>
        <v/>
      </c>
      <c r="AJ385" s="5" t="str">
        <f>""</f>
        <v/>
      </c>
      <c r="AK385" s="8" t="str">
        <f>""</f>
        <v/>
      </c>
      <c r="AL385" s="5" t="str">
        <f>"30,00"</f>
        <v>30,00</v>
      </c>
      <c r="AM385" s="5" t="str">
        <f>"2029"</f>
        <v>2029</v>
      </c>
      <c r="AN385" s="5" t="str">
        <f t="shared" si="625"/>
        <v>нет</v>
      </c>
      <c r="AO385" s="5" t="str">
        <f>""</f>
        <v/>
      </c>
      <c r="AP385" s="5" t="str">
        <f>""</f>
        <v/>
      </c>
      <c r="AQ385" s="5" t="str">
        <f>""</f>
        <v/>
      </c>
      <c r="AR385" s="5" t="str">
        <f t="shared" si="626"/>
        <v>нет</v>
      </c>
      <c r="AS385" s="5" t="str">
        <f>""</f>
        <v/>
      </c>
      <c r="AT385" s="5" t="str">
        <f>""</f>
        <v/>
      </c>
      <c r="AU385" s="5" t="str">
        <f>""</f>
        <v/>
      </c>
      <c r="AV385" s="5" t="str">
        <f t="shared" si="650"/>
        <v>х</v>
      </c>
      <c r="AW385" s="5" t="str">
        <f t="shared" si="650"/>
        <v>х</v>
      </c>
      <c r="AX385" s="5" t="str">
        <f t="shared" si="650"/>
        <v>х</v>
      </c>
      <c r="AY385" s="5" t="str">
        <f t="shared" si="650"/>
        <v>х</v>
      </c>
      <c r="AZ385" s="5" t="str">
        <f t="shared" si="650"/>
        <v>х</v>
      </c>
      <c r="BA385" s="5" t="str">
        <f t="shared" si="650"/>
        <v>х</v>
      </c>
      <c r="BB385" s="5" t="str">
        <f t="shared" si="650"/>
        <v>х</v>
      </c>
      <c r="BC385" s="5" t="str">
        <f t="shared" si="650"/>
        <v>х</v>
      </c>
      <c r="BD385" s="5" t="str">
        <f t="shared" si="650"/>
        <v>х</v>
      </c>
      <c r="BE385" s="5" t="str">
        <f t="shared" si="650"/>
        <v>х</v>
      </c>
      <c r="BF385" s="5" t="str">
        <f t="shared" si="650"/>
        <v>х</v>
      </c>
      <c r="BG385" s="5" t="str">
        <f t="shared" ref="BG385:BQ385" si="651">"х"</f>
        <v>х</v>
      </c>
      <c r="BH385" s="5" t="str">
        <f t="shared" si="651"/>
        <v>х</v>
      </c>
      <c r="BI385" s="5" t="str">
        <f t="shared" si="651"/>
        <v>х</v>
      </c>
      <c r="BJ385" s="5" t="str">
        <f t="shared" si="651"/>
        <v>х</v>
      </c>
      <c r="BK385" s="5" t="str">
        <f t="shared" si="651"/>
        <v>х</v>
      </c>
      <c r="BL385" s="5" t="str">
        <f t="shared" si="651"/>
        <v>х</v>
      </c>
      <c r="BM385" s="5" t="str">
        <f t="shared" si="651"/>
        <v>х</v>
      </c>
      <c r="BN385" s="5" t="str">
        <f t="shared" si="651"/>
        <v>х</v>
      </c>
      <c r="BO385" s="5" t="str">
        <f t="shared" si="651"/>
        <v>х</v>
      </c>
      <c r="BP385" s="5" t="str">
        <f t="shared" si="651"/>
        <v>х</v>
      </c>
      <c r="BQ385" s="5" t="str">
        <f t="shared" si="651"/>
        <v>х</v>
      </c>
      <c r="BR385" s="5" t="str">
        <f>""</f>
        <v/>
      </c>
      <c r="BS385" s="5" t="str">
        <f>"35,00"</f>
        <v>35,00</v>
      </c>
      <c r="BT385" s="5" t="str">
        <f>"2020"</f>
        <v>2020</v>
      </c>
      <c r="BU385" s="5" t="str">
        <f t="shared" si="633"/>
        <v>нет</v>
      </c>
      <c r="BV385" s="5" t="str">
        <f t="shared" si="647"/>
        <v>x</v>
      </c>
      <c r="BW385" s="5" t="str">
        <f t="shared" si="647"/>
        <v>x</v>
      </c>
      <c r="BX385" s="5" t="str">
        <f t="shared" si="647"/>
        <v>x</v>
      </c>
      <c r="BY385" s="5" t="str">
        <f t="shared" si="645"/>
        <v>нет</v>
      </c>
      <c r="BZ385" s="5" t="str">
        <f t="shared" si="646"/>
        <v>x</v>
      </c>
      <c r="CA385" s="5" t="str">
        <f t="shared" si="646"/>
        <v>x</v>
      </c>
      <c r="CB385" s="5" t="str">
        <f t="shared" si="646"/>
        <v>x</v>
      </c>
      <c r="CC385" s="5" t="str">
        <f>""</f>
        <v/>
      </c>
      <c r="CD385" s="5" t="str">
        <f>"30,00"</f>
        <v>30,00</v>
      </c>
      <c r="CE385" s="5" t="str">
        <f>"2023"</f>
        <v>2023</v>
      </c>
      <c r="CF385" s="5" t="str">
        <f>""</f>
        <v/>
      </c>
      <c r="CG385" s="5" t="str">
        <f>"25,00"</f>
        <v>25,00</v>
      </c>
      <c r="CH385" s="5" t="str">
        <f>"2026"</f>
        <v>2026</v>
      </c>
      <c r="CI385" s="5" t="str">
        <f>"47,00"</f>
        <v>47,00</v>
      </c>
      <c r="CJ385" s="5" t="str">
        <f>"2042"</f>
        <v>2042</v>
      </c>
    </row>
    <row r="386" spans="1:88" ht="11.25" customHeight="1">
      <c r="A386" s="3" t="str">
        <f>"1.373"</f>
        <v>1.373</v>
      </c>
      <c r="B386" s="4" t="str">
        <f>"д. Степурино, ул. Полевая, д.5"</f>
        <v>д. Степурино, ул. Полевая, д.5</v>
      </c>
      <c r="C386" s="7" t="str">
        <f>"1968"</f>
        <v>1968</v>
      </c>
      <c r="D386" s="5" t="str">
        <f>""</f>
        <v/>
      </c>
      <c r="E386" s="5" t="str">
        <f>"45,00"</f>
        <v>45,00</v>
      </c>
      <c r="F386" s="5" t="str">
        <f>"2030"</f>
        <v>2030</v>
      </c>
      <c r="G386" s="5" t="str">
        <f t="shared" si="648"/>
        <v>да</v>
      </c>
      <c r="H386" s="5" t="str">
        <f>""</f>
        <v/>
      </c>
      <c r="I386" s="5" t="str">
        <f>"30,00"</f>
        <v>30,00</v>
      </c>
      <c r="J386" s="5" t="str">
        <f>"2030"</f>
        <v>2030</v>
      </c>
      <c r="K386" s="5" t="str">
        <f t="shared" si="649"/>
        <v>да</v>
      </c>
      <c r="L386" s="5" t="str">
        <f>""</f>
        <v/>
      </c>
      <c r="M386" s="5" t="str">
        <f>"30,00"</f>
        <v>30,00</v>
      </c>
      <c r="N386" s="5" t="str">
        <f>"2030"</f>
        <v>2030</v>
      </c>
      <c r="O386" s="8" t="str">
        <f>""</f>
        <v/>
      </c>
      <c r="P386" s="5" t="str">
        <f>"35,00"</f>
        <v>35,00</v>
      </c>
      <c r="Q386" s="5" t="str">
        <f>"2029"</f>
        <v>2029</v>
      </c>
      <c r="R386" s="5" t="str">
        <f t="shared" si="623"/>
        <v>нет</v>
      </c>
      <c r="S386" s="5" t="str">
        <f>""</f>
        <v/>
      </c>
      <c r="T386" s="5" t="str">
        <f>""</f>
        <v/>
      </c>
      <c r="U386" s="5" t="str">
        <f>""</f>
        <v/>
      </c>
      <c r="V386" s="5" t="str">
        <f t="shared" si="624"/>
        <v>нет</v>
      </c>
      <c r="W386" s="5" t="str">
        <f>""</f>
        <v/>
      </c>
      <c r="X386" s="5" t="str">
        <f>""</f>
        <v/>
      </c>
      <c r="Y386" s="9" t="str">
        <f>""</f>
        <v/>
      </c>
      <c r="Z386" s="5" t="str">
        <f>""</f>
        <v/>
      </c>
      <c r="AA386" s="5" t="str">
        <f>"20,00"</f>
        <v>20,00</v>
      </c>
      <c r="AB386" s="5" t="str">
        <f>"2025"</f>
        <v>2025</v>
      </c>
      <c r="AC386" s="5" t="str">
        <f t="shared" si="643"/>
        <v>нет</v>
      </c>
      <c r="AD386" s="5" t="str">
        <f>""</f>
        <v/>
      </c>
      <c r="AE386" s="5" t="str">
        <f>""</f>
        <v/>
      </c>
      <c r="AF386" s="5" t="str">
        <f>""</f>
        <v/>
      </c>
      <c r="AG386" s="5" t="str">
        <f t="shared" si="644"/>
        <v>нет</v>
      </c>
      <c r="AH386" s="5" t="str">
        <f>""</f>
        <v/>
      </c>
      <c r="AI386" s="5" t="str">
        <f>""</f>
        <v/>
      </c>
      <c r="AJ386" s="5" t="str">
        <f>""</f>
        <v/>
      </c>
      <c r="AK386" s="8" t="str">
        <f>""</f>
        <v/>
      </c>
      <c r="AL386" s="5" t="str">
        <f>"30,00"</f>
        <v>30,00</v>
      </c>
      <c r="AM386" s="5" t="str">
        <f>"2028"</f>
        <v>2028</v>
      </c>
      <c r="AN386" s="5" t="str">
        <f t="shared" si="625"/>
        <v>нет</v>
      </c>
      <c r="AO386" s="5" t="str">
        <f>""</f>
        <v/>
      </c>
      <c r="AP386" s="5" t="str">
        <f>""</f>
        <v/>
      </c>
      <c r="AQ386" s="5" t="str">
        <f>""</f>
        <v/>
      </c>
      <c r="AR386" s="5" t="str">
        <f t="shared" si="626"/>
        <v>нет</v>
      </c>
      <c r="AS386" s="5" t="str">
        <f>""</f>
        <v/>
      </c>
      <c r="AT386" s="5" t="str">
        <f>""</f>
        <v/>
      </c>
      <c r="AU386" s="5" t="str">
        <f>""</f>
        <v/>
      </c>
      <c r="AV386" s="5" t="str">
        <f t="shared" si="650"/>
        <v>х</v>
      </c>
      <c r="AW386" s="5" t="str">
        <f t="shared" si="650"/>
        <v>х</v>
      </c>
      <c r="AX386" s="5" t="str">
        <f t="shared" si="650"/>
        <v>х</v>
      </c>
      <c r="AY386" s="5" t="str">
        <f t="shared" si="650"/>
        <v>х</v>
      </c>
      <c r="AZ386" s="5" t="str">
        <f t="shared" si="650"/>
        <v>х</v>
      </c>
      <c r="BA386" s="5" t="str">
        <f t="shared" si="650"/>
        <v>х</v>
      </c>
      <c r="BB386" s="5" t="str">
        <f t="shared" si="650"/>
        <v>х</v>
      </c>
      <c r="BC386" s="5" t="str">
        <f t="shared" si="650"/>
        <v>х</v>
      </c>
      <c r="BD386" s="5" t="str">
        <f t="shared" si="650"/>
        <v>х</v>
      </c>
      <c r="BE386" s="5" t="str">
        <f t="shared" si="650"/>
        <v>х</v>
      </c>
      <c r="BF386" s="5" t="str">
        <f t="shared" si="650"/>
        <v>х</v>
      </c>
      <c r="BG386" s="5" t="str">
        <f>""</f>
        <v/>
      </c>
      <c r="BH386" s="5" t="str">
        <f>"35,00"</f>
        <v>35,00</v>
      </c>
      <c r="BI386" s="5" t="str">
        <f>"2027"</f>
        <v>2027</v>
      </c>
      <c r="BJ386" s="5" t="str">
        <f t="shared" ref="BJ386:BJ402" si="652">"нет"</f>
        <v>нет</v>
      </c>
      <c r="BK386" s="5" t="str">
        <f>""</f>
        <v/>
      </c>
      <c r="BL386" s="5" t="str">
        <f>""</f>
        <v/>
      </c>
      <c r="BM386" s="5" t="str">
        <f>""</f>
        <v/>
      </c>
      <c r="BN386" s="5" t="str">
        <f t="shared" ref="BN386:BN402" si="653">"нет"</f>
        <v>нет</v>
      </c>
      <c r="BO386" s="5" t="str">
        <f>""</f>
        <v/>
      </c>
      <c r="BP386" s="5" t="str">
        <f>""</f>
        <v/>
      </c>
      <c r="BQ386" s="5" t="str">
        <f>""</f>
        <v/>
      </c>
      <c r="BR386" s="5" t="str">
        <f>""</f>
        <v/>
      </c>
      <c r="BS386" s="5" t="str">
        <f>"35,00"</f>
        <v>35,00</v>
      </c>
      <c r="BT386" s="5" t="str">
        <f>"2020"</f>
        <v>2020</v>
      </c>
      <c r="BU386" s="5" t="str">
        <f t="shared" si="633"/>
        <v>нет</v>
      </c>
      <c r="BV386" s="5" t="str">
        <f t="shared" si="647"/>
        <v>x</v>
      </c>
      <c r="BW386" s="5" t="str">
        <f t="shared" si="647"/>
        <v>x</v>
      </c>
      <c r="BX386" s="5" t="str">
        <f t="shared" si="647"/>
        <v>x</v>
      </c>
      <c r="BY386" s="5" t="str">
        <f t="shared" si="645"/>
        <v>нет</v>
      </c>
      <c r="BZ386" s="5" t="str">
        <f t="shared" si="646"/>
        <v>x</v>
      </c>
      <c r="CA386" s="5" t="str">
        <f t="shared" si="646"/>
        <v>x</v>
      </c>
      <c r="CB386" s="5" t="str">
        <f t="shared" si="646"/>
        <v>x</v>
      </c>
      <c r="CC386" s="5" t="str">
        <f>""</f>
        <v/>
      </c>
      <c r="CD386" s="5" t="str">
        <f>"20,00"</f>
        <v>20,00</v>
      </c>
      <c r="CE386" s="5" t="str">
        <f>"2031"</f>
        <v>2031</v>
      </c>
      <c r="CF386" s="5" t="str">
        <f>""</f>
        <v/>
      </c>
      <c r="CG386" s="5" t="str">
        <f>"22,00"</f>
        <v>22,00</v>
      </c>
      <c r="CH386" s="5" t="str">
        <f>"2032"</f>
        <v>2032</v>
      </c>
      <c r="CI386" s="5" t="str">
        <f>"46,00"</f>
        <v>46,00</v>
      </c>
      <c r="CJ386" s="5" t="str">
        <f>"2044"</f>
        <v>2044</v>
      </c>
    </row>
    <row r="387" spans="1:88" ht="11.25" customHeight="1">
      <c r="A387" s="3" t="str">
        <f>"1.374"</f>
        <v>1.374</v>
      </c>
      <c r="B387" s="4" t="str">
        <f>"д. Степурино, ул. Полевая, д.6"</f>
        <v>д. Степурино, ул. Полевая, д.6</v>
      </c>
      <c r="C387" s="7" t="str">
        <f>"1972"</f>
        <v>1972</v>
      </c>
      <c r="D387" s="5" t="str">
        <f>""</f>
        <v/>
      </c>
      <c r="E387" s="5" t="str">
        <f>"50,00"</f>
        <v>50,00</v>
      </c>
      <c r="F387" s="5" t="str">
        <f>"2028"</f>
        <v>2028</v>
      </c>
      <c r="G387" s="5" t="str">
        <f t="shared" si="648"/>
        <v>да</v>
      </c>
      <c r="H387" s="5" t="str">
        <f>""</f>
        <v/>
      </c>
      <c r="I387" s="5" t="str">
        <f>"30,00"</f>
        <v>30,00</v>
      </c>
      <c r="J387" s="5" t="str">
        <f>"2028"</f>
        <v>2028</v>
      </c>
      <c r="K387" s="5" t="str">
        <f t="shared" si="649"/>
        <v>да</v>
      </c>
      <c r="L387" s="5" t="str">
        <f>""</f>
        <v/>
      </c>
      <c r="M387" s="5" t="str">
        <f>"30,00"</f>
        <v>30,00</v>
      </c>
      <c r="N387" s="5" t="str">
        <f>"2028"</f>
        <v>2028</v>
      </c>
      <c r="O387" s="8" t="str">
        <f>""</f>
        <v/>
      </c>
      <c r="P387" s="5" t="str">
        <f>"40,00"</f>
        <v>40,00</v>
      </c>
      <c r="Q387" s="5" t="str">
        <f>"2029"</f>
        <v>2029</v>
      </c>
      <c r="R387" s="5" t="str">
        <f t="shared" si="623"/>
        <v>нет</v>
      </c>
      <c r="S387" s="5" t="str">
        <f>""</f>
        <v/>
      </c>
      <c r="T387" s="5" t="str">
        <f>""</f>
        <v/>
      </c>
      <c r="U387" s="5" t="str">
        <f>""</f>
        <v/>
      </c>
      <c r="V387" s="5" t="str">
        <f t="shared" si="624"/>
        <v>нет</v>
      </c>
      <c r="W387" s="5" t="str">
        <f>""</f>
        <v/>
      </c>
      <c r="X387" s="5" t="str">
        <f>""</f>
        <v/>
      </c>
      <c r="Y387" s="9" t="str">
        <f>""</f>
        <v/>
      </c>
      <c r="Z387" s="5" t="str">
        <f>""</f>
        <v/>
      </c>
      <c r="AA387" s="5" t="str">
        <f>"20,00"</f>
        <v>20,00</v>
      </c>
      <c r="AB387" s="5" t="str">
        <f>"2030"</f>
        <v>2030</v>
      </c>
      <c r="AC387" s="5" t="str">
        <f t="shared" si="643"/>
        <v>нет</v>
      </c>
      <c r="AD387" s="5" t="str">
        <f>""</f>
        <v/>
      </c>
      <c r="AE387" s="5" t="str">
        <f>""</f>
        <v/>
      </c>
      <c r="AF387" s="5" t="str">
        <f>""</f>
        <v/>
      </c>
      <c r="AG387" s="5" t="str">
        <f t="shared" si="644"/>
        <v>нет</v>
      </c>
      <c r="AH387" s="5" t="str">
        <f>""</f>
        <v/>
      </c>
      <c r="AI387" s="5" t="str">
        <f>""</f>
        <v/>
      </c>
      <c r="AJ387" s="5" t="str">
        <f>""</f>
        <v/>
      </c>
      <c r="AK387" s="8" t="str">
        <f>""</f>
        <v/>
      </c>
      <c r="AL387" s="5" t="str">
        <f>"30,00"</f>
        <v>30,00</v>
      </c>
      <c r="AM387" s="5" t="str">
        <f>"2027"</f>
        <v>2027</v>
      </c>
      <c r="AN387" s="5" t="str">
        <f t="shared" si="625"/>
        <v>нет</v>
      </c>
      <c r="AO387" s="5" t="str">
        <f>""</f>
        <v/>
      </c>
      <c r="AP387" s="5" t="str">
        <f>""</f>
        <v/>
      </c>
      <c r="AQ387" s="5" t="str">
        <f>""</f>
        <v/>
      </c>
      <c r="AR387" s="5" t="str">
        <f t="shared" si="626"/>
        <v>нет</v>
      </c>
      <c r="AS387" s="5" t="str">
        <f>""</f>
        <v/>
      </c>
      <c r="AT387" s="5" t="str">
        <f>""</f>
        <v/>
      </c>
      <c r="AU387" s="5" t="str">
        <f>""</f>
        <v/>
      </c>
      <c r="AV387" s="5" t="str">
        <f t="shared" si="650"/>
        <v>х</v>
      </c>
      <c r="AW387" s="5" t="str">
        <f t="shared" si="650"/>
        <v>х</v>
      </c>
      <c r="AX387" s="5" t="str">
        <f t="shared" si="650"/>
        <v>х</v>
      </c>
      <c r="AY387" s="5" t="str">
        <f t="shared" si="650"/>
        <v>х</v>
      </c>
      <c r="AZ387" s="5" t="str">
        <f t="shared" si="650"/>
        <v>х</v>
      </c>
      <c r="BA387" s="5" t="str">
        <f t="shared" si="650"/>
        <v>х</v>
      </c>
      <c r="BB387" s="5" t="str">
        <f t="shared" si="650"/>
        <v>х</v>
      </c>
      <c r="BC387" s="5" t="str">
        <f t="shared" si="650"/>
        <v>х</v>
      </c>
      <c r="BD387" s="5" t="str">
        <f t="shared" si="650"/>
        <v>х</v>
      </c>
      <c r="BE387" s="5" t="str">
        <f t="shared" si="650"/>
        <v>х</v>
      </c>
      <c r="BF387" s="5" t="str">
        <f t="shared" si="650"/>
        <v>х</v>
      </c>
      <c r="BG387" s="5" t="str">
        <f>""</f>
        <v/>
      </c>
      <c r="BH387" s="5" t="str">
        <f>"35,00"</f>
        <v>35,00</v>
      </c>
      <c r="BI387" s="5" t="str">
        <f>"2029"</f>
        <v>2029</v>
      </c>
      <c r="BJ387" s="5" t="str">
        <f t="shared" si="652"/>
        <v>нет</v>
      </c>
      <c r="BK387" s="5" t="str">
        <f>""</f>
        <v/>
      </c>
      <c r="BL387" s="5" t="str">
        <f>""</f>
        <v/>
      </c>
      <c r="BM387" s="5" t="str">
        <f>""</f>
        <v/>
      </c>
      <c r="BN387" s="5" t="str">
        <f t="shared" si="653"/>
        <v>нет</v>
      </c>
      <c r="BO387" s="5" t="str">
        <f>""</f>
        <v/>
      </c>
      <c r="BP387" s="5" t="str">
        <f>""</f>
        <v/>
      </c>
      <c r="BQ387" s="5" t="str">
        <f>""</f>
        <v/>
      </c>
      <c r="BR387" s="5" t="str">
        <f>""</f>
        <v/>
      </c>
      <c r="BS387" s="5" t="str">
        <f>"40,00"</f>
        <v>40,00</v>
      </c>
      <c r="BT387" s="5" t="str">
        <f>"2018"</f>
        <v>2018</v>
      </c>
      <c r="BU387" s="5" t="str">
        <f t="shared" si="633"/>
        <v>нет</v>
      </c>
      <c r="BV387" s="5" t="str">
        <f t="shared" si="647"/>
        <v>x</v>
      </c>
      <c r="BW387" s="5" t="str">
        <f t="shared" si="647"/>
        <v>x</v>
      </c>
      <c r="BX387" s="5" t="str">
        <f t="shared" si="647"/>
        <v>x</v>
      </c>
      <c r="BY387" s="5" t="str">
        <f t="shared" si="645"/>
        <v>нет</v>
      </c>
      <c r="BZ387" s="5" t="str">
        <f t="shared" si="646"/>
        <v>x</v>
      </c>
      <c r="CA387" s="5" t="str">
        <f t="shared" si="646"/>
        <v>x</v>
      </c>
      <c r="CB387" s="5" t="str">
        <f t="shared" si="646"/>
        <v>x</v>
      </c>
      <c r="CC387" s="5" t="str">
        <f>""</f>
        <v/>
      </c>
      <c r="CD387" s="5" t="str">
        <f>"20,00"</f>
        <v>20,00</v>
      </c>
      <c r="CE387" s="5" t="str">
        <f>"2033"</f>
        <v>2033</v>
      </c>
      <c r="CF387" s="5" t="str">
        <f>""</f>
        <v/>
      </c>
      <c r="CG387" s="5" t="str">
        <f>"20,00"</f>
        <v>20,00</v>
      </c>
      <c r="CH387" s="5" t="str">
        <f>"2034"</f>
        <v>2034</v>
      </c>
      <c r="CI387" s="5" t="str">
        <f>"50,00"</f>
        <v>50,00</v>
      </c>
      <c r="CJ387" s="5" t="str">
        <f>"2042"</f>
        <v>2042</v>
      </c>
    </row>
    <row r="388" spans="1:88" ht="11.25" customHeight="1">
      <c r="A388" s="3" t="str">
        <f>"1.375"</f>
        <v>1.375</v>
      </c>
      <c r="B388" s="4" t="str">
        <f>"д. Степурино, ул. Полевая, д.7"</f>
        <v>д. Степурино, ул. Полевая, д.7</v>
      </c>
      <c r="C388" s="7" t="str">
        <f>"1988"</f>
        <v>1988</v>
      </c>
      <c r="D388" s="5" t="str">
        <f>""</f>
        <v/>
      </c>
      <c r="E388" s="5" t="str">
        <f>"40,00"</f>
        <v>40,00</v>
      </c>
      <c r="F388" s="5" t="str">
        <f>"2028"</f>
        <v>2028</v>
      </c>
      <c r="G388" s="5" t="str">
        <f t="shared" si="648"/>
        <v>да</v>
      </c>
      <c r="H388" s="5" t="str">
        <f>""</f>
        <v/>
      </c>
      <c r="I388" s="5" t="str">
        <f>"30,00"</f>
        <v>30,00</v>
      </c>
      <c r="J388" s="5" t="str">
        <f>"2028"</f>
        <v>2028</v>
      </c>
      <c r="K388" s="5" t="str">
        <f t="shared" si="649"/>
        <v>да</v>
      </c>
      <c r="L388" s="5" t="str">
        <f>""</f>
        <v/>
      </c>
      <c r="M388" s="5" t="str">
        <f>"30,00"</f>
        <v>30,00</v>
      </c>
      <c r="N388" s="5" t="str">
        <f>"2028"</f>
        <v>2028</v>
      </c>
      <c r="O388" s="8" t="str">
        <f>""</f>
        <v/>
      </c>
      <c r="P388" s="5" t="str">
        <f>"25,00"</f>
        <v>25,00</v>
      </c>
      <c r="Q388" s="5" t="str">
        <f>"2029"</f>
        <v>2029</v>
      </c>
      <c r="R388" s="5" t="str">
        <f t="shared" si="623"/>
        <v>нет</v>
      </c>
      <c r="S388" s="5" t="str">
        <f>""</f>
        <v/>
      </c>
      <c r="T388" s="5" t="str">
        <f>""</f>
        <v/>
      </c>
      <c r="U388" s="5" t="str">
        <f>""</f>
        <v/>
      </c>
      <c r="V388" s="5" t="str">
        <f t="shared" si="624"/>
        <v>нет</v>
      </c>
      <c r="W388" s="5" t="str">
        <f>""</f>
        <v/>
      </c>
      <c r="X388" s="5" t="str">
        <f>""</f>
        <v/>
      </c>
      <c r="Y388" s="9" t="str">
        <f>""</f>
        <v/>
      </c>
      <c r="Z388" s="5" t="str">
        <f>""</f>
        <v/>
      </c>
      <c r="AA388" s="5" t="str">
        <f>"15,00"</f>
        <v>15,00</v>
      </c>
      <c r="AB388" s="5" t="str">
        <f>"2032"</f>
        <v>2032</v>
      </c>
      <c r="AC388" s="5" t="str">
        <f t="shared" si="643"/>
        <v>нет</v>
      </c>
      <c r="AD388" s="5" t="str">
        <f>""</f>
        <v/>
      </c>
      <c r="AE388" s="5" t="str">
        <f>""</f>
        <v/>
      </c>
      <c r="AF388" s="5" t="str">
        <f>""</f>
        <v/>
      </c>
      <c r="AG388" s="5" t="str">
        <f t="shared" si="644"/>
        <v>нет</v>
      </c>
      <c r="AH388" s="5" t="str">
        <f>""</f>
        <v/>
      </c>
      <c r="AI388" s="5" t="str">
        <f>""</f>
        <v/>
      </c>
      <c r="AJ388" s="5" t="str">
        <f>""</f>
        <v/>
      </c>
      <c r="AK388" s="8" t="str">
        <f>""</f>
        <v/>
      </c>
      <c r="AL388" s="5" t="str">
        <f>"30,00"</f>
        <v>30,00</v>
      </c>
      <c r="AM388" s="5" t="str">
        <f>"2029"</f>
        <v>2029</v>
      </c>
      <c r="AN388" s="5" t="str">
        <f t="shared" si="625"/>
        <v>нет</v>
      </c>
      <c r="AO388" s="5" t="str">
        <f>""</f>
        <v/>
      </c>
      <c r="AP388" s="5" t="str">
        <f>""</f>
        <v/>
      </c>
      <c r="AQ388" s="5" t="str">
        <f>""</f>
        <v/>
      </c>
      <c r="AR388" s="5" t="str">
        <f t="shared" si="626"/>
        <v>нет</v>
      </c>
      <c r="AS388" s="5" t="str">
        <f>""</f>
        <v/>
      </c>
      <c r="AT388" s="5" t="str">
        <f>""</f>
        <v/>
      </c>
      <c r="AU388" s="5" t="str">
        <f>""</f>
        <v/>
      </c>
      <c r="AV388" s="5" t="str">
        <f t="shared" si="650"/>
        <v>х</v>
      </c>
      <c r="AW388" s="5" t="str">
        <f t="shared" si="650"/>
        <v>х</v>
      </c>
      <c r="AX388" s="5" t="str">
        <f t="shared" si="650"/>
        <v>х</v>
      </c>
      <c r="AY388" s="5" t="str">
        <f t="shared" si="650"/>
        <v>х</v>
      </c>
      <c r="AZ388" s="5" t="str">
        <f t="shared" si="650"/>
        <v>х</v>
      </c>
      <c r="BA388" s="5" t="str">
        <f t="shared" si="650"/>
        <v>х</v>
      </c>
      <c r="BB388" s="5" t="str">
        <f t="shared" si="650"/>
        <v>х</v>
      </c>
      <c r="BC388" s="5" t="str">
        <f t="shared" si="650"/>
        <v>х</v>
      </c>
      <c r="BD388" s="5" t="str">
        <f t="shared" si="650"/>
        <v>х</v>
      </c>
      <c r="BE388" s="5" t="str">
        <f t="shared" si="650"/>
        <v>х</v>
      </c>
      <c r="BF388" s="5" t="str">
        <f t="shared" si="650"/>
        <v>х</v>
      </c>
      <c r="BG388" s="5" t="str">
        <f>""</f>
        <v/>
      </c>
      <c r="BH388" s="5" t="str">
        <f>"30,00"</f>
        <v>30,00</v>
      </c>
      <c r="BI388" s="5" t="str">
        <f>"2030"</f>
        <v>2030</v>
      </c>
      <c r="BJ388" s="5" t="str">
        <f t="shared" si="652"/>
        <v>нет</v>
      </c>
      <c r="BK388" s="5" t="str">
        <f>""</f>
        <v/>
      </c>
      <c r="BL388" s="5" t="str">
        <f>""</f>
        <v/>
      </c>
      <c r="BM388" s="5" t="str">
        <f>""</f>
        <v/>
      </c>
      <c r="BN388" s="5" t="str">
        <f t="shared" si="653"/>
        <v>нет</v>
      </c>
      <c r="BO388" s="5" t="str">
        <f>""</f>
        <v/>
      </c>
      <c r="BP388" s="5" t="str">
        <f>""</f>
        <v/>
      </c>
      <c r="BQ388" s="5" t="str">
        <f>""</f>
        <v/>
      </c>
      <c r="BR388" s="5" t="str">
        <f>""</f>
        <v/>
      </c>
      <c r="BS388" s="5" t="str">
        <f>"35,00"</f>
        <v>35,00</v>
      </c>
      <c r="BT388" s="5" t="str">
        <f>"2021"</f>
        <v>2021</v>
      </c>
      <c r="BU388" s="5" t="str">
        <f t="shared" si="633"/>
        <v>нет</v>
      </c>
      <c r="BV388" s="5" t="str">
        <f t="shared" si="647"/>
        <v>x</v>
      </c>
      <c r="BW388" s="5" t="str">
        <f t="shared" si="647"/>
        <v>x</v>
      </c>
      <c r="BX388" s="5" t="str">
        <f t="shared" si="647"/>
        <v>x</v>
      </c>
      <c r="BY388" s="5" t="str">
        <f t="shared" si="645"/>
        <v>нет</v>
      </c>
      <c r="BZ388" s="5" t="str">
        <f t="shared" si="646"/>
        <v>x</v>
      </c>
      <c r="CA388" s="5" t="str">
        <f t="shared" si="646"/>
        <v>x</v>
      </c>
      <c r="CB388" s="5" t="str">
        <f t="shared" si="646"/>
        <v>x</v>
      </c>
      <c r="CC388" s="5" t="str">
        <f>""</f>
        <v/>
      </c>
      <c r="CD388" s="5" t="str">
        <f>"20,00"</f>
        <v>20,00</v>
      </c>
      <c r="CE388" s="5" t="str">
        <f>"2032"</f>
        <v>2032</v>
      </c>
      <c r="CF388" s="5" t="str">
        <f>""</f>
        <v/>
      </c>
      <c r="CG388" s="5" t="str">
        <f>"20,00"</f>
        <v>20,00</v>
      </c>
      <c r="CH388" s="5" t="str">
        <f>"2033"</f>
        <v>2033</v>
      </c>
      <c r="CI388" s="5" t="str">
        <f>"39,00"</f>
        <v>39,00</v>
      </c>
      <c r="CJ388" s="5" t="str">
        <f>"2042"</f>
        <v>2042</v>
      </c>
    </row>
    <row r="389" spans="1:88" ht="11.25" customHeight="1">
      <c r="A389" s="3" t="str">
        <f>"1.376"</f>
        <v>1.376</v>
      </c>
      <c r="B389" s="4" t="str">
        <f>"д. Степурино, ул. Полевая, д.9"</f>
        <v>д. Степурино, ул. Полевая, д.9</v>
      </c>
      <c r="C389" s="7" t="str">
        <f>"1967"</f>
        <v>1967</v>
      </c>
      <c r="D389" s="5" t="str">
        <f>""</f>
        <v/>
      </c>
      <c r="E389" s="5" t="str">
        <f>"40,00"</f>
        <v>40,00</v>
      </c>
      <c r="F389" s="5" t="str">
        <f>"2024"</f>
        <v>2024</v>
      </c>
      <c r="G389" s="5" t="str">
        <f t="shared" si="648"/>
        <v>да</v>
      </c>
      <c r="H389" s="5" t="str">
        <f>""</f>
        <v/>
      </c>
      <c r="I389" s="5" t="str">
        <f>"30,00"</f>
        <v>30,00</v>
      </c>
      <c r="J389" s="5" t="str">
        <f>"2024"</f>
        <v>2024</v>
      </c>
      <c r="K389" s="5" t="str">
        <f t="shared" si="649"/>
        <v>да</v>
      </c>
      <c r="L389" s="5" t="str">
        <f>""</f>
        <v/>
      </c>
      <c r="M389" s="5" t="str">
        <f>"30,00"</f>
        <v>30,00</v>
      </c>
      <c r="N389" s="5" t="str">
        <f>"2024"</f>
        <v>2024</v>
      </c>
      <c r="O389" s="8" t="str">
        <f>""</f>
        <v/>
      </c>
      <c r="P389" s="5" t="str">
        <f>"30,00"</f>
        <v>30,00</v>
      </c>
      <c r="Q389" s="5" t="str">
        <f>"2027"</f>
        <v>2027</v>
      </c>
      <c r="R389" s="5" t="str">
        <f t="shared" si="623"/>
        <v>нет</v>
      </c>
      <c r="S389" s="5" t="str">
        <f>""</f>
        <v/>
      </c>
      <c r="T389" s="5" t="str">
        <f>""</f>
        <v/>
      </c>
      <c r="U389" s="5" t="str">
        <f>""</f>
        <v/>
      </c>
      <c r="V389" s="5" t="str">
        <f t="shared" si="624"/>
        <v>нет</v>
      </c>
      <c r="W389" s="5" t="str">
        <f>""</f>
        <v/>
      </c>
      <c r="X389" s="5" t="str">
        <f>""</f>
        <v/>
      </c>
      <c r="Y389" s="9" t="str">
        <f>""</f>
        <v/>
      </c>
      <c r="Z389" s="5" t="str">
        <f>""</f>
        <v/>
      </c>
      <c r="AA389" s="5" t="str">
        <f>"20,00"</f>
        <v>20,00</v>
      </c>
      <c r="AB389" s="5" t="str">
        <f>"2028"</f>
        <v>2028</v>
      </c>
      <c r="AC389" s="5" t="str">
        <f t="shared" si="643"/>
        <v>нет</v>
      </c>
      <c r="AD389" s="5" t="str">
        <f>""</f>
        <v/>
      </c>
      <c r="AE389" s="5" t="str">
        <f>""</f>
        <v/>
      </c>
      <c r="AF389" s="5" t="str">
        <f>""</f>
        <v/>
      </c>
      <c r="AG389" s="5" t="str">
        <f t="shared" si="644"/>
        <v>нет</v>
      </c>
      <c r="AH389" s="5" t="str">
        <f>""</f>
        <v/>
      </c>
      <c r="AI389" s="5" t="str">
        <f>""</f>
        <v/>
      </c>
      <c r="AJ389" s="5" t="str">
        <f>""</f>
        <v/>
      </c>
      <c r="AK389" s="8" t="str">
        <f>""</f>
        <v/>
      </c>
      <c r="AL389" s="5" t="str">
        <f>"35,00"</f>
        <v>35,00</v>
      </c>
      <c r="AM389" s="5" t="str">
        <f>"2026"</f>
        <v>2026</v>
      </c>
      <c r="AN389" s="5" t="str">
        <f t="shared" si="625"/>
        <v>нет</v>
      </c>
      <c r="AO389" s="5" t="str">
        <f>""</f>
        <v/>
      </c>
      <c r="AP389" s="5" t="str">
        <f>""</f>
        <v/>
      </c>
      <c r="AQ389" s="5" t="str">
        <f>""</f>
        <v/>
      </c>
      <c r="AR389" s="5" t="str">
        <f t="shared" si="626"/>
        <v>нет</v>
      </c>
      <c r="AS389" s="5" t="str">
        <f>""</f>
        <v/>
      </c>
      <c r="AT389" s="5" t="str">
        <f>""</f>
        <v/>
      </c>
      <c r="AU389" s="5" t="str">
        <f>""</f>
        <v/>
      </c>
      <c r="AV389" s="5" t="str">
        <f t="shared" si="650"/>
        <v>х</v>
      </c>
      <c r="AW389" s="5" t="str">
        <f t="shared" si="650"/>
        <v>х</v>
      </c>
      <c r="AX389" s="5" t="str">
        <f t="shared" si="650"/>
        <v>х</v>
      </c>
      <c r="AY389" s="5" t="str">
        <f t="shared" si="650"/>
        <v>х</v>
      </c>
      <c r="AZ389" s="5" t="str">
        <f t="shared" si="650"/>
        <v>х</v>
      </c>
      <c r="BA389" s="5" t="str">
        <f t="shared" si="650"/>
        <v>х</v>
      </c>
      <c r="BB389" s="5" t="str">
        <f t="shared" si="650"/>
        <v>х</v>
      </c>
      <c r="BC389" s="5" t="str">
        <f t="shared" si="650"/>
        <v>х</v>
      </c>
      <c r="BD389" s="5" t="str">
        <f t="shared" si="650"/>
        <v>х</v>
      </c>
      <c r="BE389" s="5" t="str">
        <f t="shared" si="650"/>
        <v>х</v>
      </c>
      <c r="BF389" s="5" t="str">
        <f t="shared" si="650"/>
        <v>х</v>
      </c>
      <c r="BG389" s="5" t="str">
        <f>""</f>
        <v/>
      </c>
      <c r="BH389" s="5" t="str">
        <f>"35,00"</f>
        <v>35,00</v>
      </c>
      <c r="BI389" s="5" t="str">
        <f>"2027"</f>
        <v>2027</v>
      </c>
      <c r="BJ389" s="5" t="str">
        <f t="shared" si="652"/>
        <v>нет</v>
      </c>
      <c r="BK389" s="5" t="str">
        <f>""</f>
        <v/>
      </c>
      <c r="BL389" s="5" t="str">
        <f>""</f>
        <v/>
      </c>
      <c r="BM389" s="5" t="str">
        <f>""</f>
        <v/>
      </c>
      <c r="BN389" s="5" t="str">
        <f t="shared" si="653"/>
        <v>нет</v>
      </c>
      <c r="BO389" s="5" t="str">
        <f>""</f>
        <v/>
      </c>
      <c r="BP389" s="5" t="str">
        <f>""</f>
        <v/>
      </c>
      <c r="BQ389" s="5" t="str">
        <f>""</f>
        <v/>
      </c>
      <c r="BR389" s="5" t="str">
        <f>""</f>
        <v/>
      </c>
      <c r="BS389" s="5" t="str">
        <f>"40,00"</f>
        <v>40,00</v>
      </c>
      <c r="BT389" s="5" t="str">
        <f>"2018"</f>
        <v>2018</v>
      </c>
      <c r="BU389" s="5" t="str">
        <f t="shared" si="633"/>
        <v>нет</v>
      </c>
      <c r="BV389" s="5" t="str">
        <f t="shared" si="647"/>
        <v>x</v>
      </c>
      <c r="BW389" s="5" t="str">
        <f t="shared" si="647"/>
        <v>x</v>
      </c>
      <c r="BX389" s="5" t="str">
        <f t="shared" si="647"/>
        <v>x</v>
      </c>
      <c r="BY389" s="5" t="str">
        <f t="shared" si="645"/>
        <v>нет</v>
      </c>
      <c r="BZ389" s="5" t="str">
        <f t="shared" si="646"/>
        <v>x</v>
      </c>
      <c r="CA389" s="5" t="str">
        <f t="shared" si="646"/>
        <v>x</v>
      </c>
      <c r="CB389" s="5" t="str">
        <f t="shared" si="646"/>
        <v>x</v>
      </c>
      <c r="CC389" s="5" t="str">
        <f>""</f>
        <v/>
      </c>
      <c r="CD389" s="5" t="str">
        <f>"20,00"</f>
        <v>20,00</v>
      </c>
      <c r="CE389" s="5" t="str">
        <f>"2029"</f>
        <v>2029</v>
      </c>
      <c r="CF389" s="5" t="str">
        <f>""</f>
        <v/>
      </c>
      <c r="CG389" s="5" t="str">
        <f>"20,00"</f>
        <v>20,00</v>
      </c>
      <c r="CH389" s="5" t="str">
        <f>"2030"</f>
        <v>2030</v>
      </c>
      <c r="CI389" s="5" t="str">
        <f>"41,00"</f>
        <v>41,00</v>
      </c>
      <c r="CJ389" s="5" t="str">
        <f>"2042"</f>
        <v>2042</v>
      </c>
    </row>
    <row r="390" spans="1:88" ht="11.25" customHeight="1">
      <c r="A390" s="3" t="str">
        <f>"1.377"</f>
        <v>1.377</v>
      </c>
      <c r="B390" s="4" t="str">
        <f>"д. Фрол, д.28"</f>
        <v>д. Фрол, д.28</v>
      </c>
      <c r="C390" s="7" t="str">
        <f>"1992"</f>
        <v>1992</v>
      </c>
      <c r="D390" s="5" t="str">
        <f>""</f>
        <v/>
      </c>
      <c r="E390" s="5" t="str">
        <f>"40,00"</f>
        <v>40,00</v>
      </c>
      <c r="F390" s="5" t="str">
        <f>"2026"</f>
        <v>2026</v>
      </c>
      <c r="G390" s="5" t="str">
        <f t="shared" si="648"/>
        <v>да</v>
      </c>
      <c r="H390" s="5" t="str">
        <f>""</f>
        <v/>
      </c>
      <c r="I390" s="5" t="str">
        <f>"40,00"</f>
        <v>40,00</v>
      </c>
      <c r="J390" s="5" t="str">
        <f>"2026"</f>
        <v>2026</v>
      </c>
      <c r="K390" s="5" t="str">
        <f t="shared" si="649"/>
        <v>да</v>
      </c>
      <c r="L390" s="5" t="str">
        <f>""</f>
        <v/>
      </c>
      <c r="M390" s="5" t="str">
        <f>"40,00"</f>
        <v>40,00</v>
      </c>
      <c r="N390" s="5" t="str">
        <f>"2026"</f>
        <v>2026</v>
      </c>
      <c r="O390" s="8" t="str">
        <f>""</f>
        <v/>
      </c>
      <c r="P390" s="5" t="str">
        <f>"40,00"</f>
        <v>40,00</v>
      </c>
      <c r="Q390" s="5" t="str">
        <f>"2028"</f>
        <v>2028</v>
      </c>
      <c r="R390" s="5" t="str">
        <f t="shared" si="623"/>
        <v>нет</v>
      </c>
      <c r="S390" s="5" t="str">
        <f>""</f>
        <v/>
      </c>
      <c r="T390" s="5" t="str">
        <f>""</f>
        <v/>
      </c>
      <c r="U390" s="5" t="str">
        <f>""</f>
        <v/>
      </c>
      <c r="V390" s="5" t="str">
        <f t="shared" si="624"/>
        <v>нет</v>
      </c>
      <c r="W390" s="5" t="str">
        <f>""</f>
        <v/>
      </c>
      <c r="X390" s="5" t="str">
        <f>""</f>
        <v/>
      </c>
      <c r="Y390" s="9" t="str">
        <f>""</f>
        <v/>
      </c>
      <c r="Z390" s="5" t="str">
        <f>""</f>
        <v/>
      </c>
      <c r="AA390" s="5" t="str">
        <f>"30,00"</f>
        <v>30,00</v>
      </c>
      <c r="AB390" s="5" t="str">
        <f>"2030"</f>
        <v>2030</v>
      </c>
      <c r="AC390" s="5" t="str">
        <f t="shared" si="643"/>
        <v>нет</v>
      </c>
      <c r="AD390" s="5" t="str">
        <f>""</f>
        <v/>
      </c>
      <c r="AE390" s="5" t="str">
        <f>""</f>
        <v/>
      </c>
      <c r="AF390" s="5" t="str">
        <f>""</f>
        <v/>
      </c>
      <c r="AG390" s="5" t="str">
        <f t="shared" si="644"/>
        <v>нет</v>
      </c>
      <c r="AH390" s="5" t="str">
        <f>""</f>
        <v/>
      </c>
      <c r="AI390" s="5" t="str">
        <f>""</f>
        <v/>
      </c>
      <c r="AJ390" s="5" t="str">
        <f>""</f>
        <v/>
      </c>
      <c r="AK390" s="8" t="str">
        <f>""</f>
        <v/>
      </c>
      <c r="AL390" s="5" t="str">
        <f>"50,00"</f>
        <v>50,00</v>
      </c>
      <c r="AM390" s="5" t="str">
        <f>"2029"</f>
        <v>2029</v>
      </c>
      <c r="AN390" s="5" t="str">
        <f t="shared" si="625"/>
        <v>нет</v>
      </c>
      <c r="AO390" s="5" t="str">
        <f>""</f>
        <v/>
      </c>
      <c r="AP390" s="5" t="str">
        <f>""</f>
        <v/>
      </c>
      <c r="AQ390" s="5" t="str">
        <f>""</f>
        <v/>
      </c>
      <c r="AR390" s="5" t="str">
        <f t="shared" si="626"/>
        <v>нет</v>
      </c>
      <c r="AS390" s="5" t="str">
        <f>""</f>
        <v/>
      </c>
      <c r="AT390" s="5" t="str">
        <f>""</f>
        <v/>
      </c>
      <c r="AU390" s="5" t="str">
        <f>""</f>
        <v/>
      </c>
      <c r="AV390" s="5" t="str">
        <f>""</f>
        <v/>
      </c>
      <c r="AW390" s="5" t="str">
        <f>"50,00"</f>
        <v>50,00</v>
      </c>
      <c r="AX390" s="5" t="str">
        <f>"2029"</f>
        <v>2029</v>
      </c>
      <c r="AY390" s="5" t="str">
        <f>"нет"</f>
        <v>нет</v>
      </c>
      <c r="AZ390" s="5" t="str">
        <f>""</f>
        <v/>
      </c>
      <c r="BA390" s="5" t="str">
        <f>""</f>
        <v/>
      </c>
      <c r="BB390" s="5" t="str">
        <f>""</f>
        <v/>
      </c>
      <c r="BC390" s="5" t="str">
        <f>"нет"</f>
        <v>нет</v>
      </c>
      <c r="BD390" s="5" t="str">
        <f>""</f>
        <v/>
      </c>
      <c r="BE390" s="5" t="str">
        <f>""</f>
        <v/>
      </c>
      <c r="BF390" s="5" t="str">
        <f>""</f>
        <v/>
      </c>
      <c r="BG390" s="5" t="str">
        <f>""</f>
        <v/>
      </c>
      <c r="BH390" s="5" t="str">
        <f>"55,00"</f>
        <v>55,00</v>
      </c>
      <c r="BI390" s="5" t="str">
        <f>"2028"</f>
        <v>2028</v>
      </c>
      <c r="BJ390" s="5" t="str">
        <f t="shared" si="652"/>
        <v>нет</v>
      </c>
      <c r="BK390" s="5" t="str">
        <f>""</f>
        <v/>
      </c>
      <c r="BL390" s="5" t="str">
        <f>""</f>
        <v/>
      </c>
      <c r="BM390" s="5" t="str">
        <f>""</f>
        <v/>
      </c>
      <c r="BN390" s="5" t="str">
        <f t="shared" si="653"/>
        <v>нет</v>
      </c>
      <c r="BO390" s="5" t="str">
        <f>""</f>
        <v/>
      </c>
      <c r="BP390" s="5" t="str">
        <f>""</f>
        <v/>
      </c>
      <c r="BQ390" s="5" t="str">
        <f>""</f>
        <v/>
      </c>
      <c r="BR390" s="5" t="str">
        <f>""</f>
        <v/>
      </c>
      <c r="BS390" s="5" t="str">
        <f>"55,00"</f>
        <v>55,00</v>
      </c>
      <c r="BT390" s="5" t="str">
        <f>"2021"</f>
        <v>2021</v>
      </c>
      <c r="BU390" s="5" t="str">
        <f t="shared" si="633"/>
        <v>нет</v>
      </c>
      <c r="BV390" s="5" t="str">
        <f t="shared" si="647"/>
        <v>x</v>
      </c>
      <c r="BW390" s="5" t="str">
        <f t="shared" si="647"/>
        <v>x</v>
      </c>
      <c r="BX390" s="5" t="str">
        <f t="shared" si="647"/>
        <v>x</v>
      </c>
      <c r="BY390" s="5" t="str">
        <f t="shared" si="645"/>
        <v>нет</v>
      </c>
      <c r="BZ390" s="5" t="str">
        <f t="shared" si="646"/>
        <v>x</v>
      </c>
      <c r="CA390" s="5" t="str">
        <f t="shared" si="646"/>
        <v>x</v>
      </c>
      <c r="CB390" s="5" t="str">
        <f t="shared" si="646"/>
        <v>x</v>
      </c>
      <c r="CC390" s="5" t="str">
        <f>""</f>
        <v/>
      </c>
      <c r="CD390" s="5" t="str">
        <f>"50,00"</f>
        <v>50,00</v>
      </c>
      <c r="CE390" s="5" t="str">
        <f>"2027"</f>
        <v>2027</v>
      </c>
      <c r="CF390" s="5" t="str">
        <f>""</f>
        <v/>
      </c>
      <c r="CG390" s="5" t="str">
        <f>"50,00"</f>
        <v>50,00</v>
      </c>
      <c r="CH390" s="5" t="str">
        <f>"2027"</f>
        <v>2027</v>
      </c>
      <c r="CI390" s="5" t="str">
        <f>"60,00"</f>
        <v>60,00</v>
      </c>
      <c r="CJ390" s="5" t="str">
        <f>"2030"</f>
        <v>2030</v>
      </c>
    </row>
    <row r="391" spans="1:88" ht="11.25" customHeight="1">
      <c r="A391" s="3" t="str">
        <f>"1.378"</f>
        <v>1.378</v>
      </c>
      <c r="B391" s="4" t="str">
        <f>"д. Фрол, д.30"</f>
        <v>д. Фрол, д.30</v>
      </c>
      <c r="C391" s="7" t="str">
        <f>"1992"</f>
        <v>1992</v>
      </c>
      <c r="D391" s="5" t="str">
        <f>""</f>
        <v/>
      </c>
      <c r="E391" s="5" t="str">
        <f>"40,00"</f>
        <v>40,00</v>
      </c>
      <c r="F391" s="5" t="str">
        <f>"2023"</f>
        <v>2023</v>
      </c>
      <c r="G391" s="5" t="str">
        <f t="shared" si="648"/>
        <v>да</v>
      </c>
      <c r="H391" s="5" t="str">
        <f>""</f>
        <v/>
      </c>
      <c r="I391" s="5" t="str">
        <f>"40,00"</f>
        <v>40,00</v>
      </c>
      <c r="J391" s="5" t="str">
        <f>"2023"</f>
        <v>2023</v>
      </c>
      <c r="K391" s="5" t="str">
        <f t="shared" si="649"/>
        <v>да</v>
      </c>
      <c r="L391" s="5" t="str">
        <f>""</f>
        <v/>
      </c>
      <c r="M391" s="5" t="str">
        <f>"40,00"</f>
        <v>40,00</v>
      </c>
      <c r="N391" s="5" t="str">
        <f>"2023"</f>
        <v>2023</v>
      </c>
      <c r="O391" s="8" t="str">
        <f>""</f>
        <v/>
      </c>
      <c r="P391" s="5" t="str">
        <f>"40,00"</f>
        <v>40,00</v>
      </c>
      <c r="Q391" s="5" t="str">
        <f>"2025"</f>
        <v>2025</v>
      </c>
      <c r="R391" s="5" t="str">
        <f t="shared" si="623"/>
        <v>нет</v>
      </c>
      <c r="S391" s="5" t="str">
        <f>""</f>
        <v/>
      </c>
      <c r="T391" s="5" t="str">
        <f>""</f>
        <v/>
      </c>
      <c r="U391" s="5" t="str">
        <f>""</f>
        <v/>
      </c>
      <c r="V391" s="5" t="str">
        <f t="shared" si="624"/>
        <v>нет</v>
      </c>
      <c r="W391" s="5" t="str">
        <f>""</f>
        <v/>
      </c>
      <c r="X391" s="5" t="str">
        <f>""</f>
        <v/>
      </c>
      <c r="Y391" s="9" t="str">
        <f>""</f>
        <v/>
      </c>
      <c r="Z391" s="5" t="str">
        <f>""</f>
        <v/>
      </c>
      <c r="AA391" s="5" t="str">
        <f>"30,00"</f>
        <v>30,00</v>
      </c>
      <c r="AB391" s="5" t="str">
        <f>"2030"</f>
        <v>2030</v>
      </c>
      <c r="AC391" s="5" t="str">
        <f t="shared" si="643"/>
        <v>нет</v>
      </c>
      <c r="AD391" s="5" t="str">
        <f>""</f>
        <v/>
      </c>
      <c r="AE391" s="5" t="str">
        <f>""</f>
        <v/>
      </c>
      <c r="AF391" s="5" t="str">
        <f>""</f>
        <v/>
      </c>
      <c r="AG391" s="5" t="str">
        <f t="shared" si="644"/>
        <v>нет</v>
      </c>
      <c r="AH391" s="5" t="str">
        <f>""</f>
        <v/>
      </c>
      <c r="AI391" s="5" t="str">
        <f>""</f>
        <v/>
      </c>
      <c r="AJ391" s="5" t="str">
        <f>""</f>
        <v/>
      </c>
      <c r="AK391" s="8" t="str">
        <f>""</f>
        <v/>
      </c>
      <c r="AL391" s="5" t="str">
        <f>"40,00"</f>
        <v>40,00</v>
      </c>
      <c r="AM391" s="5" t="str">
        <f>"2027"</f>
        <v>2027</v>
      </c>
      <c r="AN391" s="5" t="str">
        <f t="shared" si="625"/>
        <v>нет</v>
      </c>
      <c r="AO391" s="5" t="str">
        <f>""</f>
        <v/>
      </c>
      <c r="AP391" s="5" t="str">
        <f>""</f>
        <v/>
      </c>
      <c r="AQ391" s="5" t="str">
        <f>""</f>
        <v/>
      </c>
      <c r="AR391" s="5" t="str">
        <f t="shared" si="626"/>
        <v>нет</v>
      </c>
      <c r="AS391" s="5" t="str">
        <f>""</f>
        <v/>
      </c>
      <c r="AT391" s="5" t="str">
        <f>""</f>
        <v/>
      </c>
      <c r="AU391" s="5" t="str">
        <f>""</f>
        <v/>
      </c>
      <c r="AV391" s="5" t="str">
        <f>""</f>
        <v/>
      </c>
      <c r="AW391" s="5" t="str">
        <f>"40,00"</f>
        <v>40,00</v>
      </c>
      <c r="AX391" s="5" t="str">
        <f>"2027"</f>
        <v>2027</v>
      </c>
      <c r="AY391" s="5" t="str">
        <f>"нет"</f>
        <v>нет</v>
      </c>
      <c r="AZ391" s="5" t="str">
        <f>""</f>
        <v/>
      </c>
      <c r="BA391" s="5" t="str">
        <f>""</f>
        <v/>
      </c>
      <c r="BB391" s="5" t="str">
        <f>""</f>
        <v/>
      </c>
      <c r="BC391" s="5" t="str">
        <f>"нет"</f>
        <v>нет</v>
      </c>
      <c r="BD391" s="5" t="str">
        <f>""</f>
        <v/>
      </c>
      <c r="BE391" s="5" t="str">
        <f>""</f>
        <v/>
      </c>
      <c r="BF391" s="5" t="str">
        <f>""</f>
        <v/>
      </c>
      <c r="BG391" s="5" t="str">
        <f>""</f>
        <v/>
      </c>
      <c r="BH391" s="5" t="str">
        <f>"40,00"</f>
        <v>40,00</v>
      </c>
      <c r="BI391" s="5" t="str">
        <f>"2025"</f>
        <v>2025</v>
      </c>
      <c r="BJ391" s="5" t="str">
        <f t="shared" si="652"/>
        <v>нет</v>
      </c>
      <c r="BK391" s="5" t="str">
        <f>""</f>
        <v/>
      </c>
      <c r="BL391" s="5" t="str">
        <f>""</f>
        <v/>
      </c>
      <c r="BM391" s="5" t="str">
        <f>""</f>
        <v/>
      </c>
      <c r="BN391" s="5" t="str">
        <f t="shared" si="653"/>
        <v>нет</v>
      </c>
      <c r="BO391" s="5" t="str">
        <f>""</f>
        <v/>
      </c>
      <c r="BP391" s="5" t="str">
        <f>""</f>
        <v/>
      </c>
      <c r="BQ391" s="5" t="str">
        <f>""</f>
        <v/>
      </c>
      <c r="BR391" s="5" t="str">
        <f>""</f>
        <v/>
      </c>
      <c r="BS391" s="5" t="str">
        <f>"40,00"</f>
        <v>40,00</v>
      </c>
      <c r="BT391" s="5" t="str">
        <f>"2020"</f>
        <v>2020</v>
      </c>
      <c r="BU391" s="5" t="str">
        <f t="shared" si="633"/>
        <v>нет</v>
      </c>
      <c r="BV391" s="5" t="str">
        <f t="shared" si="647"/>
        <v>x</v>
      </c>
      <c r="BW391" s="5" t="str">
        <f t="shared" si="647"/>
        <v>x</v>
      </c>
      <c r="BX391" s="5" t="str">
        <f t="shared" si="647"/>
        <v>x</v>
      </c>
      <c r="BY391" s="5" t="str">
        <f t="shared" si="645"/>
        <v>нет</v>
      </c>
      <c r="BZ391" s="5" t="str">
        <f t="shared" si="646"/>
        <v>x</v>
      </c>
      <c r="CA391" s="5" t="str">
        <f t="shared" si="646"/>
        <v>x</v>
      </c>
      <c r="CB391" s="5" t="str">
        <f t="shared" si="646"/>
        <v>x</v>
      </c>
      <c r="CC391" s="5" t="str">
        <f>""</f>
        <v/>
      </c>
      <c r="CD391" s="5" t="str">
        <f>"40,00"</f>
        <v>40,00</v>
      </c>
      <c r="CE391" s="5" t="str">
        <f>"2023"</f>
        <v>2023</v>
      </c>
      <c r="CF391" s="5" t="str">
        <f>""</f>
        <v/>
      </c>
      <c r="CG391" s="5" t="str">
        <f>"40,00"</f>
        <v>40,00</v>
      </c>
      <c r="CH391" s="5" t="str">
        <f>"2023"</f>
        <v>2023</v>
      </c>
      <c r="CI391" s="5" t="str">
        <f>"40,00"</f>
        <v>40,00</v>
      </c>
      <c r="CJ391" s="5" t="str">
        <f>"2030"</f>
        <v>2030</v>
      </c>
    </row>
    <row r="392" spans="1:88" ht="11.25" customHeight="1">
      <c r="A392" s="3" t="str">
        <f>"1.379"</f>
        <v>1.379</v>
      </c>
      <c r="B392" s="4" t="str">
        <f>"д. Фрол, д.32"</f>
        <v>д. Фрол, д.32</v>
      </c>
      <c r="C392" s="7" t="str">
        <f>"1983"</f>
        <v>1983</v>
      </c>
      <c r="D392" s="5" t="str">
        <f>""</f>
        <v/>
      </c>
      <c r="E392" s="5" t="str">
        <f>"40,00"</f>
        <v>40,00</v>
      </c>
      <c r="F392" s="5" t="str">
        <f>"2028"</f>
        <v>2028</v>
      </c>
      <c r="G392" s="5" t="str">
        <f t="shared" si="648"/>
        <v>да</v>
      </c>
      <c r="H392" s="5" t="str">
        <f>""</f>
        <v/>
      </c>
      <c r="I392" s="5" t="str">
        <f>"40,00"</f>
        <v>40,00</v>
      </c>
      <c r="J392" s="5" t="str">
        <f>"2028"</f>
        <v>2028</v>
      </c>
      <c r="K392" s="5" t="str">
        <f t="shared" si="649"/>
        <v>да</v>
      </c>
      <c r="L392" s="5" t="str">
        <f>""</f>
        <v/>
      </c>
      <c r="M392" s="5" t="str">
        <f>"40,00"</f>
        <v>40,00</v>
      </c>
      <c r="N392" s="5" t="str">
        <f>"2028"</f>
        <v>2028</v>
      </c>
      <c r="O392" s="8" t="str">
        <f>""</f>
        <v/>
      </c>
      <c r="P392" s="5" t="str">
        <f>"40,00"</f>
        <v>40,00</v>
      </c>
      <c r="Q392" s="5" t="str">
        <f>"2027"</f>
        <v>2027</v>
      </c>
      <c r="R392" s="5" t="str">
        <f t="shared" si="623"/>
        <v>нет</v>
      </c>
      <c r="S392" s="5" t="str">
        <f>""</f>
        <v/>
      </c>
      <c r="T392" s="5" t="str">
        <f>""</f>
        <v/>
      </c>
      <c r="U392" s="5" t="str">
        <f>""</f>
        <v/>
      </c>
      <c r="V392" s="5" t="str">
        <f t="shared" si="624"/>
        <v>нет</v>
      </c>
      <c r="W392" s="5" t="str">
        <f>""</f>
        <v/>
      </c>
      <c r="X392" s="5" t="str">
        <f>""</f>
        <v/>
      </c>
      <c r="Y392" s="9" t="str">
        <f>""</f>
        <v/>
      </c>
      <c r="Z392" s="5" t="str">
        <f>""</f>
        <v/>
      </c>
      <c r="AA392" s="5" t="str">
        <f>"30,00"</f>
        <v>30,00</v>
      </c>
      <c r="AB392" s="5" t="str">
        <f>"2030"</f>
        <v>2030</v>
      </c>
      <c r="AC392" s="5" t="str">
        <f t="shared" si="643"/>
        <v>нет</v>
      </c>
      <c r="AD392" s="5" t="str">
        <f>""</f>
        <v/>
      </c>
      <c r="AE392" s="5" t="str">
        <f>""</f>
        <v/>
      </c>
      <c r="AF392" s="5" t="str">
        <f>""</f>
        <v/>
      </c>
      <c r="AG392" s="5" t="str">
        <f t="shared" si="644"/>
        <v>нет</v>
      </c>
      <c r="AH392" s="5" t="str">
        <f>""</f>
        <v/>
      </c>
      <c r="AI392" s="5" t="str">
        <f>""</f>
        <v/>
      </c>
      <c r="AJ392" s="5" t="str">
        <f>""</f>
        <v/>
      </c>
      <c r="AK392" s="8" t="str">
        <f>""</f>
        <v/>
      </c>
      <c r="AL392" s="5" t="str">
        <f>"40,00"</f>
        <v>40,00</v>
      </c>
      <c r="AM392" s="5" t="str">
        <f>"2026"</f>
        <v>2026</v>
      </c>
      <c r="AN392" s="5" t="str">
        <f t="shared" si="625"/>
        <v>нет</v>
      </c>
      <c r="AO392" s="5" t="str">
        <f>""</f>
        <v/>
      </c>
      <c r="AP392" s="5" t="str">
        <f>""</f>
        <v/>
      </c>
      <c r="AQ392" s="5" t="str">
        <f>""</f>
        <v/>
      </c>
      <c r="AR392" s="5" t="str">
        <f t="shared" si="626"/>
        <v>нет</v>
      </c>
      <c r="AS392" s="5" t="str">
        <f>""</f>
        <v/>
      </c>
      <c r="AT392" s="5" t="str">
        <f>""</f>
        <v/>
      </c>
      <c r="AU392" s="5" t="str">
        <f>""</f>
        <v/>
      </c>
      <c r="AV392" s="5" t="str">
        <f>""</f>
        <v/>
      </c>
      <c r="AW392" s="5" t="str">
        <f>"40,00"</f>
        <v>40,00</v>
      </c>
      <c r="AX392" s="5" t="str">
        <f>"2026"</f>
        <v>2026</v>
      </c>
      <c r="AY392" s="5" t="str">
        <f>"нет"</f>
        <v>нет</v>
      </c>
      <c r="AZ392" s="5" t="str">
        <f>""</f>
        <v/>
      </c>
      <c r="BA392" s="5" t="str">
        <f>""</f>
        <v/>
      </c>
      <c r="BB392" s="5" t="str">
        <f>""</f>
        <v/>
      </c>
      <c r="BC392" s="5" t="str">
        <f>"нет"</f>
        <v>нет</v>
      </c>
      <c r="BD392" s="5" t="str">
        <f>""</f>
        <v/>
      </c>
      <c r="BE392" s="5" t="str">
        <f>""</f>
        <v/>
      </c>
      <c r="BF392" s="5" t="str">
        <f>""</f>
        <v/>
      </c>
      <c r="BG392" s="5" t="str">
        <f>""</f>
        <v/>
      </c>
      <c r="BH392" s="5" t="str">
        <f>"40,00"</f>
        <v>40,00</v>
      </c>
      <c r="BI392" s="5" t="str">
        <f>"2025"</f>
        <v>2025</v>
      </c>
      <c r="BJ392" s="5" t="str">
        <f t="shared" si="652"/>
        <v>нет</v>
      </c>
      <c r="BK392" s="5" t="str">
        <f>""</f>
        <v/>
      </c>
      <c r="BL392" s="5" t="str">
        <f>""</f>
        <v/>
      </c>
      <c r="BM392" s="5" t="str">
        <f>""</f>
        <v/>
      </c>
      <c r="BN392" s="5" t="str">
        <f t="shared" si="653"/>
        <v>нет</v>
      </c>
      <c r="BO392" s="5" t="str">
        <f>""</f>
        <v/>
      </c>
      <c r="BP392" s="5" t="str">
        <f>""</f>
        <v/>
      </c>
      <c r="BQ392" s="5" t="str">
        <f>""</f>
        <v/>
      </c>
      <c r="BR392" s="5" t="str">
        <f>""</f>
        <v/>
      </c>
      <c r="BS392" s="5" t="str">
        <f>"40,00"</f>
        <v>40,00</v>
      </c>
      <c r="BT392" s="5" t="str">
        <f>"2021"</f>
        <v>2021</v>
      </c>
      <c r="BU392" s="5" t="str">
        <f t="shared" si="633"/>
        <v>нет</v>
      </c>
      <c r="BV392" s="5" t="str">
        <f t="shared" si="647"/>
        <v>x</v>
      </c>
      <c r="BW392" s="5" t="str">
        <f t="shared" si="647"/>
        <v>x</v>
      </c>
      <c r="BX392" s="5" t="str">
        <f t="shared" si="647"/>
        <v>x</v>
      </c>
      <c r="BY392" s="5" t="str">
        <f t="shared" si="645"/>
        <v>нет</v>
      </c>
      <c r="BZ392" s="5" t="str">
        <f t="shared" si="646"/>
        <v>x</v>
      </c>
      <c r="CA392" s="5" t="str">
        <f t="shared" si="646"/>
        <v>x</v>
      </c>
      <c r="CB392" s="5" t="str">
        <f t="shared" si="646"/>
        <v>x</v>
      </c>
      <c r="CC392" s="5" t="str">
        <f>""</f>
        <v/>
      </c>
      <c r="CD392" s="5" t="str">
        <f>"40,00"</f>
        <v>40,00</v>
      </c>
      <c r="CE392" s="5" t="str">
        <f>"2028"</f>
        <v>2028</v>
      </c>
      <c r="CF392" s="5" t="str">
        <f>""</f>
        <v/>
      </c>
      <c r="CG392" s="5" t="str">
        <f>"40,00"</f>
        <v>40,00</v>
      </c>
      <c r="CH392" s="5" t="str">
        <f>"2030"</f>
        <v>2030</v>
      </c>
      <c r="CI392" s="5" t="str">
        <f>"40,00"</f>
        <v>40,00</v>
      </c>
      <c r="CJ392" s="5" t="str">
        <f>"2040"</f>
        <v>2040</v>
      </c>
    </row>
    <row r="393" spans="1:88" ht="11.25" customHeight="1">
      <c r="A393" s="3" t="str">
        <f>"1.380"</f>
        <v>1.380</v>
      </c>
      <c r="B393" s="4" t="str">
        <f>"д. Фрол, д.34"</f>
        <v>д. Фрол, д.34</v>
      </c>
      <c r="C393" s="7" t="str">
        <f>"1980"</f>
        <v>1980</v>
      </c>
      <c r="D393" s="5" t="str">
        <f>""</f>
        <v/>
      </c>
      <c r="E393" s="5" t="str">
        <f>"50,00"</f>
        <v>50,00</v>
      </c>
      <c r="F393" s="5" t="str">
        <f>"2020"</f>
        <v>2020</v>
      </c>
      <c r="G393" s="5" t="str">
        <f t="shared" si="648"/>
        <v>да</v>
      </c>
      <c r="H393" s="5" t="str">
        <f>""</f>
        <v/>
      </c>
      <c r="I393" s="5" t="str">
        <f>"50,00"</f>
        <v>50,00</v>
      </c>
      <c r="J393" s="5" t="str">
        <f>"2020"</f>
        <v>2020</v>
      </c>
      <c r="K393" s="5" t="str">
        <f t="shared" si="649"/>
        <v>да</v>
      </c>
      <c r="L393" s="5" t="str">
        <f>""</f>
        <v/>
      </c>
      <c r="M393" s="5" t="str">
        <f>"50,00"</f>
        <v>50,00</v>
      </c>
      <c r="N393" s="5" t="str">
        <f>"2020"</f>
        <v>2020</v>
      </c>
      <c r="O393" s="8" t="str">
        <f>""</f>
        <v/>
      </c>
      <c r="P393" s="5" t="str">
        <f>"40,00"</f>
        <v>40,00</v>
      </c>
      <c r="Q393" s="5" t="str">
        <f>"2022"</f>
        <v>2022</v>
      </c>
      <c r="R393" s="5" t="str">
        <f t="shared" si="623"/>
        <v>нет</v>
      </c>
      <c r="S393" s="5" t="str">
        <f>""</f>
        <v/>
      </c>
      <c r="T393" s="5" t="str">
        <f>""</f>
        <v/>
      </c>
      <c r="U393" s="5" t="str">
        <f>""</f>
        <v/>
      </c>
      <c r="V393" s="5" t="str">
        <f t="shared" si="624"/>
        <v>нет</v>
      </c>
      <c r="W393" s="5" t="str">
        <f>""</f>
        <v/>
      </c>
      <c r="X393" s="5" t="str">
        <f>""</f>
        <v/>
      </c>
      <c r="Y393" s="9" t="str">
        <f>""</f>
        <v/>
      </c>
      <c r="Z393" s="5" t="str">
        <f>""</f>
        <v/>
      </c>
      <c r="AA393" s="5" t="str">
        <f>"40,00"</f>
        <v>40,00</v>
      </c>
      <c r="AB393" s="5" t="str">
        <f>"2025"</f>
        <v>2025</v>
      </c>
      <c r="AC393" s="5" t="str">
        <f t="shared" si="643"/>
        <v>нет</v>
      </c>
      <c r="AD393" s="5" t="str">
        <f>""</f>
        <v/>
      </c>
      <c r="AE393" s="5" t="str">
        <f>""</f>
        <v/>
      </c>
      <c r="AF393" s="5" t="str">
        <f>""</f>
        <v/>
      </c>
      <c r="AG393" s="5" t="str">
        <f t="shared" si="644"/>
        <v>нет</v>
      </c>
      <c r="AH393" s="5" t="str">
        <f>""</f>
        <v/>
      </c>
      <c r="AI393" s="5" t="str">
        <f>""</f>
        <v/>
      </c>
      <c r="AJ393" s="5" t="str">
        <f>""</f>
        <v/>
      </c>
      <c r="AK393" s="8" t="str">
        <f>""</f>
        <v/>
      </c>
      <c r="AL393" s="5" t="str">
        <f>"40,00"</f>
        <v>40,00</v>
      </c>
      <c r="AM393" s="5" t="str">
        <f>"2023"</f>
        <v>2023</v>
      </c>
      <c r="AN393" s="5" t="str">
        <f t="shared" si="625"/>
        <v>нет</v>
      </c>
      <c r="AO393" s="5" t="str">
        <f>""</f>
        <v/>
      </c>
      <c r="AP393" s="5" t="str">
        <f>""</f>
        <v/>
      </c>
      <c r="AQ393" s="5" t="str">
        <f>""</f>
        <v/>
      </c>
      <c r="AR393" s="5" t="str">
        <f t="shared" si="626"/>
        <v>нет</v>
      </c>
      <c r="AS393" s="5" t="str">
        <f>""</f>
        <v/>
      </c>
      <c r="AT393" s="5" t="str">
        <f>""</f>
        <v/>
      </c>
      <c r="AU393" s="5" t="str">
        <f>""</f>
        <v/>
      </c>
      <c r="AV393" s="5" t="str">
        <f>""</f>
        <v/>
      </c>
      <c r="AW393" s="5" t="str">
        <f>"40,00"</f>
        <v>40,00</v>
      </c>
      <c r="AX393" s="5" t="str">
        <f>"2023"</f>
        <v>2023</v>
      </c>
      <c r="AY393" s="5" t="str">
        <f>"нет"</f>
        <v>нет</v>
      </c>
      <c r="AZ393" s="5" t="str">
        <f>""</f>
        <v/>
      </c>
      <c r="BA393" s="5" t="str">
        <f>""</f>
        <v/>
      </c>
      <c r="BB393" s="5" t="str">
        <f>""</f>
        <v/>
      </c>
      <c r="BC393" s="5" t="str">
        <f>"нет"</f>
        <v>нет</v>
      </c>
      <c r="BD393" s="5" t="str">
        <f>""</f>
        <v/>
      </c>
      <c r="BE393" s="5" t="str">
        <f>""</f>
        <v/>
      </c>
      <c r="BF393" s="5" t="str">
        <f>""</f>
        <v/>
      </c>
      <c r="BG393" s="5" t="str">
        <f>""</f>
        <v/>
      </c>
      <c r="BH393" s="5" t="str">
        <f>"40,00"</f>
        <v>40,00</v>
      </c>
      <c r="BI393" s="5" t="str">
        <f>"2022"</f>
        <v>2022</v>
      </c>
      <c r="BJ393" s="5" t="str">
        <f t="shared" si="652"/>
        <v>нет</v>
      </c>
      <c r="BK393" s="5" t="str">
        <f>""</f>
        <v/>
      </c>
      <c r="BL393" s="5" t="str">
        <f>""</f>
        <v/>
      </c>
      <c r="BM393" s="5" t="str">
        <f>""</f>
        <v/>
      </c>
      <c r="BN393" s="5" t="str">
        <f t="shared" si="653"/>
        <v>нет</v>
      </c>
      <c r="BO393" s="5" t="str">
        <f>""</f>
        <v/>
      </c>
      <c r="BP393" s="5" t="str">
        <f>""</f>
        <v/>
      </c>
      <c r="BQ393" s="5" t="str">
        <f>""</f>
        <v/>
      </c>
      <c r="BR393" s="5" t="str">
        <f>""</f>
        <v/>
      </c>
      <c r="BS393" s="5" t="str">
        <f>"40,00"</f>
        <v>40,00</v>
      </c>
      <c r="BT393" s="5" t="str">
        <f>"2018"</f>
        <v>2018</v>
      </c>
      <c r="BU393" s="5" t="str">
        <f t="shared" si="633"/>
        <v>нет</v>
      </c>
      <c r="BV393" s="5" t="str">
        <f t="shared" si="647"/>
        <v>x</v>
      </c>
      <c r="BW393" s="5" t="str">
        <f t="shared" si="647"/>
        <v>x</v>
      </c>
      <c r="BX393" s="5" t="str">
        <f t="shared" si="647"/>
        <v>x</v>
      </c>
      <c r="BY393" s="5" t="str">
        <f t="shared" si="645"/>
        <v>нет</v>
      </c>
      <c r="BZ393" s="5" t="str">
        <f t="shared" si="646"/>
        <v>x</v>
      </c>
      <c r="CA393" s="5" t="str">
        <f t="shared" si="646"/>
        <v>x</v>
      </c>
      <c r="CB393" s="5" t="str">
        <f t="shared" si="646"/>
        <v>x</v>
      </c>
      <c r="CC393" s="5" t="str">
        <f>""</f>
        <v/>
      </c>
      <c r="CD393" s="5" t="str">
        <f>"40,00"</f>
        <v>40,00</v>
      </c>
      <c r="CE393" s="5" t="str">
        <f>"2020"</f>
        <v>2020</v>
      </c>
      <c r="CF393" s="5" t="str">
        <f>""</f>
        <v/>
      </c>
      <c r="CG393" s="5" t="str">
        <f>"40,00"</f>
        <v>40,00</v>
      </c>
      <c r="CH393" s="5" t="str">
        <f>"2020"</f>
        <v>2020</v>
      </c>
      <c r="CI393" s="5" t="str">
        <f>"40,00"</f>
        <v>40,00</v>
      </c>
      <c r="CJ393" s="5" t="str">
        <f>"2030"</f>
        <v>2030</v>
      </c>
    </row>
    <row r="394" spans="1:88" ht="11.25" customHeight="1">
      <c r="A394" s="3" t="str">
        <f>"1.381"</f>
        <v>1.381</v>
      </c>
      <c r="B394" s="4" t="str">
        <f>"д. Фрол, д.36"</f>
        <v>д. Фрол, д.36</v>
      </c>
      <c r="C394" s="7" t="str">
        <f>"1977"</f>
        <v>1977</v>
      </c>
      <c r="D394" s="5" t="str">
        <f>""</f>
        <v/>
      </c>
      <c r="E394" s="5" t="str">
        <f>"65,00"</f>
        <v>65,00</v>
      </c>
      <c r="F394" s="5" t="str">
        <f>"2020"</f>
        <v>2020</v>
      </c>
      <c r="G394" s="5" t="str">
        <f>"нет"</f>
        <v>нет</v>
      </c>
      <c r="H394" s="5" t="str">
        <f>""</f>
        <v/>
      </c>
      <c r="I394" s="5" t="str">
        <f>""</f>
        <v/>
      </c>
      <c r="J394" s="5" t="str">
        <f>""</f>
        <v/>
      </c>
      <c r="K394" s="5" t="str">
        <f t="shared" si="649"/>
        <v>да</v>
      </c>
      <c r="L394" s="5" t="str">
        <f>""</f>
        <v/>
      </c>
      <c r="M394" s="5" t="str">
        <f>"65,00"</f>
        <v>65,00</v>
      </c>
      <c r="N394" s="5" t="str">
        <f>"2020"</f>
        <v>2020</v>
      </c>
      <c r="O394" s="8" t="str">
        <f>""</f>
        <v/>
      </c>
      <c r="P394" s="5" t="str">
        <f>"60,00"</f>
        <v>60,00</v>
      </c>
      <c r="Q394" s="5" t="str">
        <f>"2021"</f>
        <v>2021</v>
      </c>
      <c r="R394" s="5" t="str">
        <f t="shared" si="623"/>
        <v>нет</v>
      </c>
      <c r="S394" s="5" t="str">
        <f>""</f>
        <v/>
      </c>
      <c r="T394" s="5" t="str">
        <f>""</f>
        <v/>
      </c>
      <c r="U394" s="5" t="str">
        <f>""</f>
        <v/>
      </c>
      <c r="V394" s="5" t="str">
        <f t="shared" si="624"/>
        <v>нет</v>
      </c>
      <c r="W394" s="5" t="str">
        <f>""</f>
        <v/>
      </c>
      <c r="X394" s="5" t="str">
        <f>""</f>
        <v/>
      </c>
      <c r="Y394" s="9" t="str">
        <f>""</f>
        <v/>
      </c>
      <c r="Z394" s="5" t="str">
        <f>""</f>
        <v/>
      </c>
      <c r="AA394" s="5" t="str">
        <f>"60,00"</f>
        <v>60,00</v>
      </c>
      <c r="AB394" s="5" t="str">
        <f>"2021"</f>
        <v>2021</v>
      </c>
      <c r="AC394" s="5" t="str">
        <f t="shared" si="643"/>
        <v>нет</v>
      </c>
      <c r="AD394" s="5" t="str">
        <f>""</f>
        <v/>
      </c>
      <c r="AE394" s="5" t="str">
        <f>""</f>
        <v/>
      </c>
      <c r="AF394" s="5" t="str">
        <f>""</f>
        <v/>
      </c>
      <c r="AG394" s="5" t="str">
        <f t="shared" si="644"/>
        <v>нет</v>
      </c>
      <c r="AH394" s="5" t="str">
        <f>""</f>
        <v/>
      </c>
      <c r="AI394" s="5" t="str">
        <f>""</f>
        <v/>
      </c>
      <c r="AJ394" s="5" t="str">
        <f>""</f>
        <v/>
      </c>
      <c r="AK394" s="8" t="str">
        <f>"2009"</f>
        <v>2009</v>
      </c>
      <c r="AL394" s="5" t="str">
        <f>"16,00"</f>
        <v>16,00</v>
      </c>
      <c r="AM394" s="5" t="str">
        <f>"2030"</f>
        <v>2030</v>
      </c>
      <c r="AN394" s="5" t="str">
        <f t="shared" si="625"/>
        <v>нет</v>
      </c>
      <c r="AO394" s="5" t="str">
        <f>""</f>
        <v/>
      </c>
      <c r="AP394" s="5" t="str">
        <f>""</f>
        <v/>
      </c>
      <c r="AQ394" s="5" t="str">
        <f>""</f>
        <v/>
      </c>
      <c r="AR394" s="5" t="str">
        <f t="shared" si="626"/>
        <v>нет</v>
      </c>
      <c r="AS394" s="5" t="str">
        <f>""</f>
        <v/>
      </c>
      <c r="AT394" s="5" t="str">
        <f>""</f>
        <v/>
      </c>
      <c r="AU394" s="5" t="str">
        <f>""</f>
        <v/>
      </c>
      <c r="AV394" s="5" t="str">
        <f t="shared" ref="AV394:BF397" si="654">"х"</f>
        <v>х</v>
      </c>
      <c r="AW394" s="5" t="str">
        <f t="shared" si="654"/>
        <v>х</v>
      </c>
      <c r="AX394" s="5" t="str">
        <f t="shared" si="654"/>
        <v>х</v>
      </c>
      <c r="AY394" s="5" t="str">
        <f t="shared" si="654"/>
        <v>х</v>
      </c>
      <c r="AZ394" s="5" t="str">
        <f t="shared" si="654"/>
        <v>х</v>
      </c>
      <c r="BA394" s="5" t="str">
        <f t="shared" si="654"/>
        <v>х</v>
      </c>
      <c r="BB394" s="5" t="str">
        <f t="shared" si="654"/>
        <v>х</v>
      </c>
      <c r="BC394" s="5" t="str">
        <f t="shared" si="654"/>
        <v>х</v>
      </c>
      <c r="BD394" s="5" t="str">
        <f t="shared" si="654"/>
        <v>х</v>
      </c>
      <c r="BE394" s="5" t="str">
        <f t="shared" si="654"/>
        <v>х</v>
      </c>
      <c r="BF394" s="5" t="str">
        <f t="shared" si="654"/>
        <v>х</v>
      </c>
      <c r="BG394" s="5" t="str">
        <f>""</f>
        <v/>
      </c>
      <c r="BH394" s="5" t="str">
        <f>"60,00"</f>
        <v>60,00</v>
      </c>
      <c r="BI394" s="5" t="str">
        <f>"2021"</f>
        <v>2021</v>
      </c>
      <c r="BJ394" s="5" t="str">
        <f t="shared" si="652"/>
        <v>нет</v>
      </c>
      <c r="BK394" s="5" t="str">
        <f>""</f>
        <v/>
      </c>
      <c r="BL394" s="5" t="str">
        <f>""</f>
        <v/>
      </c>
      <c r="BM394" s="5" t="str">
        <f>""</f>
        <v/>
      </c>
      <c r="BN394" s="5" t="str">
        <f t="shared" si="653"/>
        <v>нет</v>
      </c>
      <c r="BO394" s="5" t="str">
        <f>""</f>
        <v/>
      </c>
      <c r="BP394" s="5" t="str">
        <f>""</f>
        <v/>
      </c>
      <c r="BQ394" s="5" t="str">
        <f>""</f>
        <v/>
      </c>
      <c r="BR394" s="5" t="str">
        <f>""</f>
        <v/>
      </c>
      <c r="BS394" s="5" t="str">
        <f>"70,00"</f>
        <v>70,00</v>
      </c>
      <c r="BT394" s="5" t="str">
        <f>"2016"</f>
        <v>2016</v>
      </c>
      <c r="BU394" s="5" t="str">
        <f t="shared" si="633"/>
        <v>нет</v>
      </c>
      <c r="BV394" s="5" t="str">
        <f t="shared" si="647"/>
        <v>x</v>
      </c>
      <c r="BW394" s="5" t="str">
        <f t="shared" si="647"/>
        <v>x</v>
      </c>
      <c r="BX394" s="5" t="str">
        <f t="shared" si="647"/>
        <v>x</v>
      </c>
      <c r="BY394" s="5" t="str">
        <f t="shared" si="645"/>
        <v>нет</v>
      </c>
      <c r="BZ394" s="5" t="str">
        <f t="shared" si="646"/>
        <v>x</v>
      </c>
      <c r="CA394" s="5" t="str">
        <f t="shared" si="646"/>
        <v>x</v>
      </c>
      <c r="CB394" s="5" t="str">
        <f t="shared" si="646"/>
        <v>x</v>
      </c>
      <c r="CC394" s="5" t="str">
        <f>""</f>
        <v/>
      </c>
      <c r="CD394" s="5" t="str">
        <f>"60,00"</f>
        <v>60,00</v>
      </c>
      <c r="CE394" s="5" t="str">
        <f>"2022"</f>
        <v>2022</v>
      </c>
      <c r="CF394" s="5" t="str">
        <f>""</f>
        <v/>
      </c>
      <c r="CG394" s="5" t="str">
        <f>"60,00"</f>
        <v>60,00</v>
      </c>
      <c r="CH394" s="5" t="str">
        <f>"2023"</f>
        <v>2023</v>
      </c>
      <c r="CI394" s="5" t="str">
        <f>"50,00"</f>
        <v>50,00</v>
      </c>
      <c r="CJ394" s="5" t="str">
        <f>"2025"</f>
        <v>2025</v>
      </c>
    </row>
    <row r="395" spans="1:88" ht="11.25" customHeight="1">
      <c r="A395" s="3" t="str">
        <f>"1.382"</f>
        <v>1.382</v>
      </c>
      <c r="B395" s="4" t="str">
        <f>"д. Фрол, д.38"</f>
        <v>д. Фрол, д.38</v>
      </c>
      <c r="C395" s="7" t="str">
        <f>"1990"</f>
        <v>1990</v>
      </c>
      <c r="D395" s="5" t="str">
        <f>""</f>
        <v/>
      </c>
      <c r="E395" s="5" t="str">
        <f>"55,00"</f>
        <v>55,00</v>
      </c>
      <c r="F395" s="5" t="str">
        <f>"2022"</f>
        <v>2022</v>
      </c>
      <c r="G395" s="5" t="str">
        <f>"да"</f>
        <v>да</v>
      </c>
      <c r="H395" s="5" t="str">
        <f>""</f>
        <v/>
      </c>
      <c r="I395" s="5" t="str">
        <f>"55,00"</f>
        <v>55,00</v>
      </c>
      <c r="J395" s="5" t="str">
        <f>"2022"</f>
        <v>2022</v>
      </c>
      <c r="K395" s="5" t="str">
        <f t="shared" si="649"/>
        <v>да</v>
      </c>
      <c r="L395" s="5" t="str">
        <f>""</f>
        <v/>
      </c>
      <c r="M395" s="5" t="str">
        <f>"50,00"</f>
        <v>50,00</v>
      </c>
      <c r="N395" s="5" t="str">
        <f>"2022"</f>
        <v>2022</v>
      </c>
      <c r="O395" s="8" t="str">
        <f>""</f>
        <v/>
      </c>
      <c r="P395" s="5" t="str">
        <f>"50,00"</f>
        <v>50,00</v>
      </c>
      <c r="Q395" s="5" t="str">
        <f>"2023"</f>
        <v>2023</v>
      </c>
      <c r="R395" s="5" t="str">
        <f t="shared" si="623"/>
        <v>нет</v>
      </c>
      <c r="S395" s="5" t="str">
        <f>""</f>
        <v/>
      </c>
      <c r="T395" s="5" t="str">
        <f>""</f>
        <v/>
      </c>
      <c r="U395" s="5" t="str">
        <f>""</f>
        <v/>
      </c>
      <c r="V395" s="5" t="str">
        <f t="shared" si="624"/>
        <v>нет</v>
      </c>
      <c r="W395" s="5" t="str">
        <f>""</f>
        <v/>
      </c>
      <c r="X395" s="5" t="str">
        <f>""</f>
        <v/>
      </c>
      <c r="Y395" s="9" t="str">
        <f>""</f>
        <v/>
      </c>
      <c r="Z395" s="5" t="str">
        <f>""</f>
        <v/>
      </c>
      <c r="AA395" s="5" t="str">
        <f>"50,00"</f>
        <v>50,00</v>
      </c>
      <c r="AB395" s="5" t="str">
        <f>"2025"</f>
        <v>2025</v>
      </c>
      <c r="AC395" s="5" t="str">
        <f t="shared" si="643"/>
        <v>нет</v>
      </c>
      <c r="AD395" s="5" t="str">
        <f>""</f>
        <v/>
      </c>
      <c r="AE395" s="5" t="str">
        <f>""</f>
        <v/>
      </c>
      <c r="AF395" s="5" t="str">
        <f>""</f>
        <v/>
      </c>
      <c r="AG395" s="5" t="str">
        <f t="shared" si="644"/>
        <v>нет</v>
      </c>
      <c r="AH395" s="5" t="str">
        <f>""</f>
        <v/>
      </c>
      <c r="AI395" s="5" t="str">
        <f>""</f>
        <v/>
      </c>
      <c r="AJ395" s="5" t="str">
        <f>""</f>
        <v/>
      </c>
      <c r="AK395" s="8" t="str">
        <f>""</f>
        <v/>
      </c>
      <c r="AL395" s="5" t="str">
        <f>"45,00"</f>
        <v>45,00</v>
      </c>
      <c r="AM395" s="5" t="str">
        <f>"2025"</f>
        <v>2025</v>
      </c>
      <c r="AN395" s="5" t="str">
        <f t="shared" si="625"/>
        <v>нет</v>
      </c>
      <c r="AO395" s="5" t="str">
        <f>""</f>
        <v/>
      </c>
      <c r="AP395" s="5" t="str">
        <f>""</f>
        <v/>
      </c>
      <c r="AQ395" s="5" t="str">
        <f>""</f>
        <v/>
      </c>
      <c r="AR395" s="5" t="str">
        <f t="shared" si="626"/>
        <v>нет</v>
      </c>
      <c r="AS395" s="5" t="str">
        <f>""</f>
        <v/>
      </c>
      <c r="AT395" s="5" t="str">
        <f>""</f>
        <v/>
      </c>
      <c r="AU395" s="5" t="str">
        <f>""</f>
        <v/>
      </c>
      <c r="AV395" s="5" t="str">
        <f t="shared" si="654"/>
        <v>х</v>
      </c>
      <c r="AW395" s="5" t="str">
        <f t="shared" si="654"/>
        <v>х</v>
      </c>
      <c r="AX395" s="5" t="str">
        <f t="shared" si="654"/>
        <v>х</v>
      </c>
      <c r="AY395" s="5" t="str">
        <f t="shared" si="654"/>
        <v>х</v>
      </c>
      <c r="AZ395" s="5" t="str">
        <f t="shared" si="654"/>
        <v>х</v>
      </c>
      <c r="BA395" s="5" t="str">
        <f t="shared" si="654"/>
        <v>х</v>
      </c>
      <c r="BB395" s="5" t="str">
        <f t="shared" si="654"/>
        <v>х</v>
      </c>
      <c r="BC395" s="5" t="str">
        <f t="shared" si="654"/>
        <v>х</v>
      </c>
      <c r="BD395" s="5" t="str">
        <f t="shared" si="654"/>
        <v>х</v>
      </c>
      <c r="BE395" s="5" t="str">
        <f t="shared" si="654"/>
        <v>х</v>
      </c>
      <c r="BF395" s="5" t="str">
        <f t="shared" si="654"/>
        <v>х</v>
      </c>
      <c r="BG395" s="5" t="str">
        <f>""</f>
        <v/>
      </c>
      <c r="BH395" s="5" t="str">
        <f>"50,00"</f>
        <v>50,00</v>
      </c>
      <c r="BI395" s="5" t="str">
        <f>"2023"</f>
        <v>2023</v>
      </c>
      <c r="BJ395" s="5" t="str">
        <f t="shared" si="652"/>
        <v>нет</v>
      </c>
      <c r="BK395" s="5" t="str">
        <f>""</f>
        <v/>
      </c>
      <c r="BL395" s="5" t="str">
        <f>""</f>
        <v/>
      </c>
      <c r="BM395" s="5" t="str">
        <f>""</f>
        <v/>
      </c>
      <c r="BN395" s="5" t="str">
        <f t="shared" si="653"/>
        <v>нет</v>
      </c>
      <c r="BO395" s="5" t="str">
        <f>""</f>
        <v/>
      </c>
      <c r="BP395" s="5" t="str">
        <f>""</f>
        <v/>
      </c>
      <c r="BQ395" s="5" t="str">
        <f>""</f>
        <v/>
      </c>
      <c r="BR395" s="5" t="str">
        <f>""</f>
        <v/>
      </c>
      <c r="BS395" s="5" t="str">
        <f>"55,00"</f>
        <v>55,00</v>
      </c>
      <c r="BT395" s="5" t="str">
        <f>"2022"</f>
        <v>2022</v>
      </c>
      <c r="BU395" s="5" t="str">
        <f t="shared" si="633"/>
        <v>нет</v>
      </c>
      <c r="BV395" s="5" t="str">
        <f t="shared" si="647"/>
        <v>x</v>
      </c>
      <c r="BW395" s="5" t="str">
        <f t="shared" si="647"/>
        <v>x</v>
      </c>
      <c r="BX395" s="5" t="str">
        <f t="shared" si="647"/>
        <v>x</v>
      </c>
      <c r="BY395" s="5" t="str">
        <f t="shared" si="645"/>
        <v>нет</v>
      </c>
      <c r="BZ395" s="5" t="str">
        <f t="shared" si="646"/>
        <v>x</v>
      </c>
      <c r="CA395" s="5" t="str">
        <f t="shared" si="646"/>
        <v>x</v>
      </c>
      <c r="CB395" s="5" t="str">
        <f t="shared" si="646"/>
        <v>x</v>
      </c>
      <c r="CC395" s="5" t="str">
        <f>""</f>
        <v/>
      </c>
      <c r="CD395" s="5" t="str">
        <f>"50,00"</f>
        <v>50,00</v>
      </c>
      <c r="CE395" s="5" t="str">
        <f>"2023"</f>
        <v>2023</v>
      </c>
      <c r="CF395" s="5" t="str">
        <f>""</f>
        <v/>
      </c>
      <c r="CG395" s="5" t="str">
        <f>"50,00"</f>
        <v>50,00</v>
      </c>
      <c r="CH395" s="5" t="str">
        <f>"2025"</f>
        <v>2025</v>
      </c>
      <c r="CI395" s="5" t="str">
        <f>"40,00"</f>
        <v>40,00</v>
      </c>
      <c r="CJ395" s="5" t="str">
        <f>"2030"</f>
        <v>2030</v>
      </c>
    </row>
    <row r="396" spans="1:88" ht="11.25" customHeight="1">
      <c r="A396" s="3" t="str">
        <f>"1.383"</f>
        <v>1.383</v>
      </c>
      <c r="B396" s="4" t="str">
        <f>"д. Фрол, д.40"</f>
        <v>д. Фрол, д.40</v>
      </c>
      <c r="C396" s="7" t="str">
        <f>"1984"</f>
        <v>1984</v>
      </c>
      <c r="D396" s="5" t="str">
        <f>""</f>
        <v/>
      </c>
      <c r="E396" s="5" t="str">
        <f>"60,00"</f>
        <v>60,00</v>
      </c>
      <c r="F396" s="5" t="str">
        <f>"2020"</f>
        <v>2020</v>
      </c>
      <c r="G396" s="5" t="str">
        <f>"да"</f>
        <v>да</v>
      </c>
      <c r="H396" s="5" t="str">
        <f>""</f>
        <v/>
      </c>
      <c r="I396" s="5" t="str">
        <f>"60,00"</f>
        <v>60,00</v>
      </c>
      <c r="J396" s="5" t="str">
        <f>"2020"</f>
        <v>2020</v>
      </c>
      <c r="K396" s="5" t="str">
        <f t="shared" si="649"/>
        <v>да</v>
      </c>
      <c r="L396" s="5" t="str">
        <f>""</f>
        <v/>
      </c>
      <c r="M396" s="5" t="str">
        <f>"60,00"</f>
        <v>60,00</v>
      </c>
      <c r="N396" s="5" t="str">
        <f>"2020"</f>
        <v>2020</v>
      </c>
      <c r="O396" s="8" t="str">
        <f>""</f>
        <v/>
      </c>
      <c r="P396" s="5" t="str">
        <f>"55,00"</f>
        <v>55,00</v>
      </c>
      <c r="Q396" s="5" t="str">
        <f>"2021"</f>
        <v>2021</v>
      </c>
      <c r="R396" s="5" t="str">
        <f t="shared" si="623"/>
        <v>нет</v>
      </c>
      <c r="S396" s="5" t="str">
        <f>""</f>
        <v/>
      </c>
      <c r="T396" s="5" t="str">
        <f>""</f>
        <v/>
      </c>
      <c r="U396" s="5" t="str">
        <f>""</f>
        <v/>
      </c>
      <c r="V396" s="5" t="str">
        <f t="shared" si="624"/>
        <v>нет</v>
      </c>
      <c r="W396" s="5" t="str">
        <f>""</f>
        <v/>
      </c>
      <c r="X396" s="5" t="str">
        <f>""</f>
        <v/>
      </c>
      <c r="Y396" s="9" t="str">
        <f>""</f>
        <v/>
      </c>
      <c r="Z396" s="5" t="str">
        <f>""</f>
        <v/>
      </c>
      <c r="AA396" s="5" t="str">
        <f>"45,00"</f>
        <v>45,00</v>
      </c>
      <c r="AB396" s="5" t="str">
        <f>"2025"</f>
        <v>2025</v>
      </c>
      <c r="AC396" s="5" t="str">
        <f t="shared" si="643"/>
        <v>нет</v>
      </c>
      <c r="AD396" s="5" t="str">
        <f>""</f>
        <v/>
      </c>
      <c r="AE396" s="5" t="str">
        <f>""</f>
        <v/>
      </c>
      <c r="AF396" s="5" t="str">
        <f>""</f>
        <v/>
      </c>
      <c r="AG396" s="5" t="str">
        <f t="shared" si="644"/>
        <v>нет</v>
      </c>
      <c r="AH396" s="5" t="str">
        <f>""</f>
        <v/>
      </c>
      <c r="AI396" s="5" t="str">
        <f>""</f>
        <v/>
      </c>
      <c r="AJ396" s="5" t="str">
        <f>""</f>
        <v/>
      </c>
      <c r="AK396" s="8" t="str">
        <f>""</f>
        <v/>
      </c>
      <c r="AL396" s="5" t="str">
        <f>"50,00"</f>
        <v>50,00</v>
      </c>
      <c r="AM396" s="5" t="str">
        <f>"2023"</f>
        <v>2023</v>
      </c>
      <c r="AN396" s="5" t="str">
        <f t="shared" si="625"/>
        <v>нет</v>
      </c>
      <c r="AO396" s="5" t="str">
        <f>""</f>
        <v/>
      </c>
      <c r="AP396" s="5" t="str">
        <f>""</f>
        <v/>
      </c>
      <c r="AQ396" s="5" t="str">
        <f>""</f>
        <v/>
      </c>
      <c r="AR396" s="5" t="str">
        <f t="shared" si="626"/>
        <v>нет</v>
      </c>
      <c r="AS396" s="5" t="str">
        <f>""</f>
        <v/>
      </c>
      <c r="AT396" s="5" t="str">
        <f>""</f>
        <v/>
      </c>
      <c r="AU396" s="5" t="str">
        <f>""</f>
        <v/>
      </c>
      <c r="AV396" s="5" t="str">
        <f t="shared" si="654"/>
        <v>х</v>
      </c>
      <c r="AW396" s="5" t="str">
        <f t="shared" si="654"/>
        <v>х</v>
      </c>
      <c r="AX396" s="5" t="str">
        <f t="shared" si="654"/>
        <v>х</v>
      </c>
      <c r="AY396" s="5" t="str">
        <f t="shared" si="654"/>
        <v>х</v>
      </c>
      <c r="AZ396" s="5" t="str">
        <f t="shared" si="654"/>
        <v>х</v>
      </c>
      <c r="BA396" s="5" t="str">
        <f t="shared" si="654"/>
        <v>х</v>
      </c>
      <c r="BB396" s="5" t="str">
        <f t="shared" si="654"/>
        <v>х</v>
      </c>
      <c r="BC396" s="5" t="str">
        <f t="shared" si="654"/>
        <v>х</v>
      </c>
      <c r="BD396" s="5" t="str">
        <f t="shared" si="654"/>
        <v>х</v>
      </c>
      <c r="BE396" s="5" t="str">
        <f t="shared" si="654"/>
        <v>х</v>
      </c>
      <c r="BF396" s="5" t="str">
        <f t="shared" si="654"/>
        <v>х</v>
      </c>
      <c r="BG396" s="5" t="str">
        <f>""</f>
        <v/>
      </c>
      <c r="BH396" s="5" t="str">
        <f>"45,00"</f>
        <v>45,00</v>
      </c>
      <c r="BI396" s="5" t="str">
        <f>"2024"</f>
        <v>2024</v>
      </c>
      <c r="BJ396" s="5" t="str">
        <f t="shared" si="652"/>
        <v>нет</v>
      </c>
      <c r="BK396" s="5" t="str">
        <f>""</f>
        <v/>
      </c>
      <c r="BL396" s="5" t="str">
        <f>""</f>
        <v/>
      </c>
      <c r="BM396" s="5" t="str">
        <f>""</f>
        <v/>
      </c>
      <c r="BN396" s="5" t="str">
        <f t="shared" si="653"/>
        <v>нет</v>
      </c>
      <c r="BO396" s="5" t="str">
        <f>""</f>
        <v/>
      </c>
      <c r="BP396" s="5" t="str">
        <f>""</f>
        <v/>
      </c>
      <c r="BQ396" s="5" t="str">
        <f>""</f>
        <v/>
      </c>
      <c r="BR396" s="5" t="str">
        <f>""</f>
        <v/>
      </c>
      <c r="BS396" s="5" t="str">
        <f>"55,00"</f>
        <v>55,00</v>
      </c>
      <c r="BT396" s="5" t="str">
        <f>"2021"</f>
        <v>2021</v>
      </c>
      <c r="BU396" s="5" t="str">
        <f t="shared" si="633"/>
        <v>нет</v>
      </c>
      <c r="BV396" s="5" t="str">
        <f t="shared" si="647"/>
        <v>x</v>
      </c>
      <c r="BW396" s="5" t="str">
        <f t="shared" si="647"/>
        <v>x</v>
      </c>
      <c r="BX396" s="5" t="str">
        <f t="shared" si="647"/>
        <v>x</v>
      </c>
      <c r="BY396" s="5" t="str">
        <f t="shared" si="645"/>
        <v>нет</v>
      </c>
      <c r="BZ396" s="5" t="str">
        <f t="shared" si="646"/>
        <v>x</v>
      </c>
      <c r="CA396" s="5" t="str">
        <f t="shared" si="646"/>
        <v>x</v>
      </c>
      <c r="CB396" s="5" t="str">
        <f t="shared" si="646"/>
        <v>x</v>
      </c>
      <c r="CC396" s="5" t="str">
        <f>""</f>
        <v/>
      </c>
      <c r="CD396" s="5" t="str">
        <f>"45,00"</f>
        <v>45,00</v>
      </c>
      <c r="CE396" s="5" t="str">
        <f>"2027"</f>
        <v>2027</v>
      </c>
      <c r="CF396" s="5" t="str">
        <f>""</f>
        <v/>
      </c>
      <c r="CG396" s="5" t="str">
        <f>"50,00"</f>
        <v>50,00</v>
      </c>
      <c r="CH396" s="5" t="str">
        <f>"2027"</f>
        <v>2027</v>
      </c>
      <c r="CI396" s="5" t="str">
        <f>"40,00"</f>
        <v>40,00</v>
      </c>
      <c r="CJ396" s="5" t="str">
        <f>"2030"</f>
        <v>2030</v>
      </c>
    </row>
    <row r="397" spans="1:88" ht="11.25" customHeight="1">
      <c r="A397" s="3" t="str">
        <f>"1.384"</f>
        <v>1.384</v>
      </c>
      <c r="B397" s="4" t="str">
        <f>"д. Фрол, д.44"</f>
        <v>д. Фрол, д.44</v>
      </c>
      <c r="C397" s="7" t="str">
        <f>"1989"</f>
        <v>1989</v>
      </c>
      <c r="D397" s="5" t="str">
        <f>""</f>
        <v/>
      </c>
      <c r="E397" s="5" t="str">
        <f>"60,00"</f>
        <v>60,00</v>
      </c>
      <c r="F397" s="5" t="str">
        <f>"2019"</f>
        <v>2019</v>
      </c>
      <c r="G397" s="5" t="str">
        <f>"да"</f>
        <v>да</v>
      </c>
      <c r="H397" s="5" t="str">
        <f>""</f>
        <v/>
      </c>
      <c r="I397" s="5" t="str">
        <f>"60,00"</f>
        <v>60,00</v>
      </c>
      <c r="J397" s="5" t="str">
        <f>"2019"</f>
        <v>2019</v>
      </c>
      <c r="K397" s="5" t="str">
        <f t="shared" si="649"/>
        <v>да</v>
      </c>
      <c r="L397" s="5" t="str">
        <f>""</f>
        <v/>
      </c>
      <c r="M397" s="5" t="str">
        <f>"60,00"</f>
        <v>60,00</v>
      </c>
      <c r="N397" s="5" t="str">
        <f>"2019"</f>
        <v>2019</v>
      </c>
      <c r="O397" s="8" t="str">
        <f>""</f>
        <v/>
      </c>
      <c r="P397" s="5" t="str">
        <f>"55,00"</f>
        <v>55,00</v>
      </c>
      <c r="Q397" s="5" t="str">
        <f>"2020"</f>
        <v>2020</v>
      </c>
      <c r="R397" s="5" t="str">
        <f t="shared" si="623"/>
        <v>нет</v>
      </c>
      <c r="S397" s="5" t="str">
        <f>""</f>
        <v/>
      </c>
      <c r="T397" s="5" t="str">
        <f>""</f>
        <v/>
      </c>
      <c r="U397" s="5" t="str">
        <f>""</f>
        <v/>
      </c>
      <c r="V397" s="5" t="str">
        <f t="shared" si="624"/>
        <v>нет</v>
      </c>
      <c r="W397" s="5" t="str">
        <f>""</f>
        <v/>
      </c>
      <c r="X397" s="5" t="str">
        <f>""</f>
        <v/>
      </c>
      <c r="Y397" s="9" t="str">
        <f>""</f>
        <v/>
      </c>
      <c r="Z397" s="5" t="str">
        <f>""</f>
        <v/>
      </c>
      <c r="AA397" s="5" t="str">
        <f>"50,00"</f>
        <v>50,00</v>
      </c>
      <c r="AB397" s="5" t="str">
        <f>"2024"</f>
        <v>2024</v>
      </c>
      <c r="AC397" s="5" t="str">
        <f t="shared" si="643"/>
        <v>нет</v>
      </c>
      <c r="AD397" s="5" t="str">
        <f>""</f>
        <v/>
      </c>
      <c r="AE397" s="5" t="str">
        <f>""</f>
        <v/>
      </c>
      <c r="AF397" s="5" t="str">
        <f>""</f>
        <v/>
      </c>
      <c r="AG397" s="5" t="str">
        <f t="shared" si="644"/>
        <v>нет</v>
      </c>
      <c r="AH397" s="5" t="str">
        <f>""</f>
        <v/>
      </c>
      <c r="AI397" s="5" t="str">
        <f>""</f>
        <v/>
      </c>
      <c r="AJ397" s="5" t="str">
        <f>""</f>
        <v/>
      </c>
      <c r="AK397" s="8" t="str">
        <f>""</f>
        <v/>
      </c>
      <c r="AL397" s="5" t="str">
        <f>"55,00"</f>
        <v>55,00</v>
      </c>
      <c r="AM397" s="5" t="str">
        <f>"2021"</f>
        <v>2021</v>
      </c>
      <c r="AN397" s="5" t="str">
        <f t="shared" si="625"/>
        <v>нет</v>
      </c>
      <c r="AO397" s="5" t="str">
        <f>""</f>
        <v/>
      </c>
      <c r="AP397" s="5" t="str">
        <f>""</f>
        <v/>
      </c>
      <c r="AQ397" s="5" t="str">
        <f>""</f>
        <v/>
      </c>
      <c r="AR397" s="5" t="str">
        <f t="shared" si="626"/>
        <v>нет</v>
      </c>
      <c r="AS397" s="5" t="str">
        <f>""</f>
        <v/>
      </c>
      <c r="AT397" s="5" t="str">
        <f>""</f>
        <v/>
      </c>
      <c r="AU397" s="5" t="str">
        <f>""</f>
        <v/>
      </c>
      <c r="AV397" s="5" t="str">
        <f t="shared" si="654"/>
        <v>х</v>
      </c>
      <c r="AW397" s="5" t="str">
        <f t="shared" si="654"/>
        <v>х</v>
      </c>
      <c r="AX397" s="5" t="str">
        <f t="shared" si="654"/>
        <v>х</v>
      </c>
      <c r="AY397" s="5" t="str">
        <f t="shared" si="654"/>
        <v>х</v>
      </c>
      <c r="AZ397" s="5" t="str">
        <f t="shared" si="654"/>
        <v>х</v>
      </c>
      <c r="BA397" s="5" t="str">
        <f t="shared" si="654"/>
        <v>х</v>
      </c>
      <c r="BB397" s="5" t="str">
        <f t="shared" si="654"/>
        <v>х</v>
      </c>
      <c r="BC397" s="5" t="str">
        <f t="shared" si="654"/>
        <v>х</v>
      </c>
      <c r="BD397" s="5" t="str">
        <f t="shared" si="654"/>
        <v>х</v>
      </c>
      <c r="BE397" s="5" t="str">
        <f t="shared" si="654"/>
        <v>х</v>
      </c>
      <c r="BF397" s="5" t="str">
        <f t="shared" si="654"/>
        <v>х</v>
      </c>
      <c r="BG397" s="5" t="str">
        <f>""</f>
        <v/>
      </c>
      <c r="BH397" s="5" t="str">
        <f>"50,00"</f>
        <v>50,00</v>
      </c>
      <c r="BI397" s="5" t="str">
        <f>"2022"</f>
        <v>2022</v>
      </c>
      <c r="BJ397" s="5" t="str">
        <f t="shared" si="652"/>
        <v>нет</v>
      </c>
      <c r="BK397" s="5" t="str">
        <f>""</f>
        <v/>
      </c>
      <c r="BL397" s="5" t="str">
        <f>""</f>
        <v/>
      </c>
      <c r="BM397" s="5" t="str">
        <f>""</f>
        <v/>
      </c>
      <c r="BN397" s="5" t="str">
        <f t="shared" si="653"/>
        <v>нет</v>
      </c>
      <c r="BO397" s="5" t="str">
        <f>""</f>
        <v/>
      </c>
      <c r="BP397" s="5" t="str">
        <f>""</f>
        <v/>
      </c>
      <c r="BQ397" s="5" t="str">
        <f>""</f>
        <v/>
      </c>
      <c r="BR397" s="5" t="str">
        <f>""</f>
        <v/>
      </c>
      <c r="BS397" s="5" t="str">
        <f>"55,00"</f>
        <v>55,00</v>
      </c>
      <c r="BT397" s="5" t="str">
        <f>"2020"</f>
        <v>2020</v>
      </c>
      <c r="BU397" s="5" t="str">
        <f t="shared" si="633"/>
        <v>нет</v>
      </c>
      <c r="BV397" s="5" t="str">
        <f t="shared" si="647"/>
        <v>x</v>
      </c>
      <c r="BW397" s="5" t="str">
        <f t="shared" si="647"/>
        <v>x</v>
      </c>
      <c r="BX397" s="5" t="str">
        <f t="shared" si="647"/>
        <v>x</v>
      </c>
      <c r="BY397" s="5" t="str">
        <f t="shared" si="645"/>
        <v>нет</v>
      </c>
      <c r="BZ397" s="5" t="str">
        <f t="shared" si="646"/>
        <v>x</v>
      </c>
      <c r="CA397" s="5" t="str">
        <f t="shared" si="646"/>
        <v>x</v>
      </c>
      <c r="CB397" s="5" t="str">
        <f t="shared" si="646"/>
        <v>x</v>
      </c>
      <c r="CC397" s="5" t="str">
        <f>""</f>
        <v/>
      </c>
      <c r="CD397" s="5" t="str">
        <f>"50,00"</f>
        <v>50,00</v>
      </c>
      <c r="CE397" s="5" t="str">
        <f>"2023"</f>
        <v>2023</v>
      </c>
      <c r="CF397" s="5" t="str">
        <f>""</f>
        <v/>
      </c>
      <c r="CG397" s="5" t="str">
        <f>"50,00"</f>
        <v>50,00</v>
      </c>
      <c r="CH397" s="5" t="str">
        <f>"2023"</f>
        <v>2023</v>
      </c>
      <c r="CI397" s="5" t="str">
        <f>"40,00"</f>
        <v>40,00</v>
      </c>
      <c r="CJ397" s="5" t="str">
        <f>"2030"</f>
        <v>2030</v>
      </c>
    </row>
    <row r="398" spans="1:88" ht="11.25" customHeight="1">
      <c r="A398" s="3" t="str">
        <f>"1.385"</f>
        <v>1.385</v>
      </c>
      <c r="B398" s="4" t="str">
        <f>"д. Хорошево, ул. Сосновая, д.10"</f>
        <v>д. Хорошево, ул. Сосновая, д.10</v>
      </c>
      <c r="C398" s="7" t="str">
        <f>"1973"</f>
        <v>1973</v>
      </c>
      <c r="D398" s="5" t="str">
        <f>""</f>
        <v/>
      </c>
      <c r="E398" s="5" t="str">
        <f>"68,00"</f>
        <v>68,00</v>
      </c>
      <c r="F398" s="5" t="str">
        <f>"2015"</f>
        <v>2015</v>
      </c>
      <c r="G398" s="5" t="str">
        <f>"нет"</f>
        <v>нет</v>
      </c>
      <c r="H398" s="5" t="str">
        <f>""</f>
        <v/>
      </c>
      <c r="I398" s="5" t="str">
        <f>""</f>
        <v/>
      </c>
      <c r="J398" s="5" t="str">
        <f>""</f>
        <v/>
      </c>
      <c r="K398" s="5" t="str">
        <f>"нет"</f>
        <v>нет</v>
      </c>
      <c r="L398" s="5" t="str">
        <f>""</f>
        <v/>
      </c>
      <c r="M398" s="5" t="str">
        <f>""</f>
        <v/>
      </c>
      <c r="N398" s="5" t="str">
        <f>""</f>
        <v/>
      </c>
      <c r="O398" s="8" t="str">
        <f>""</f>
        <v/>
      </c>
      <c r="P398" s="5" t="str">
        <f>"65,00"</f>
        <v>65,00</v>
      </c>
      <c r="Q398" s="5" t="str">
        <f>"2016"</f>
        <v>2016</v>
      </c>
      <c r="R398" s="5" t="str">
        <f t="shared" si="623"/>
        <v>нет</v>
      </c>
      <c r="S398" s="5" t="str">
        <f>""</f>
        <v/>
      </c>
      <c r="T398" s="5" t="str">
        <f>""</f>
        <v/>
      </c>
      <c r="U398" s="5" t="str">
        <f>""</f>
        <v/>
      </c>
      <c r="V398" s="5" t="str">
        <f t="shared" si="624"/>
        <v>нет</v>
      </c>
      <c r="W398" s="5" t="str">
        <f>""</f>
        <v/>
      </c>
      <c r="X398" s="5" t="str">
        <f>""</f>
        <v/>
      </c>
      <c r="Y398" s="9" t="str">
        <f>""</f>
        <v/>
      </c>
      <c r="Z398" s="5" t="str">
        <f>""</f>
        <v/>
      </c>
      <c r="AA398" s="5" t="str">
        <f>"40,00"</f>
        <v>40,00</v>
      </c>
      <c r="AB398" s="5" t="str">
        <f>"2020"</f>
        <v>2020</v>
      </c>
      <c r="AC398" s="5" t="str">
        <f t="shared" si="643"/>
        <v>нет</v>
      </c>
      <c r="AD398" s="5" t="str">
        <f>""</f>
        <v/>
      </c>
      <c r="AE398" s="5" t="str">
        <f>""</f>
        <v/>
      </c>
      <c r="AF398" s="5" t="str">
        <f>""</f>
        <v/>
      </c>
      <c r="AG398" s="5" t="str">
        <f t="shared" si="644"/>
        <v>нет</v>
      </c>
      <c r="AH398" s="5" t="str">
        <f>""</f>
        <v/>
      </c>
      <c r="AI398" s="5" t="str">
        <f>""</f>
        <v/>
      </c>
      <c r="AJ398" s="5" t="str">
        <f>""</f>
        <v/>
      </c>
      <c r="AK398" s="8" t="str">
        <f>""</f>
        <v/>
      </c>
      <c r="AL398" s="5" t="str">
        <f>"45,00"</f>
        <v>45,00</v>
      </c>
      <c r="AM398" s="5" t="str">
        <f>"2017"</f>
        <v>2017</v>
      </c>
      <c r="AN398" s="5" t="str">
        <f t="shared" si="625"/>
        <v>нет</v>
      </c>
      <c r="AO398" s="5" t="str">
        <f>""</f>
        <v/>
      </c>
      <c r="AP398" s="5" t="str">
        <f>""</f>
        <v/>
      </c>
      <c r="AQ398" s="5" t="str">
        <f>""</f>
        <v/>
      </c>
      <c r="AR398" s="5" t="str">
        <f t="shared" si="626"/>
        <v>нет</v>
      </c>
      <c r="AS398" s="5" t="str">
        <f>""</f>
        <v/>
      </c>
      <c r="AT398" s="5" t="str">
        <f>""</f>
        <v/>
      </c>
      <c r="AU398" s="5" t="str">
        <f>""</f>
        <v/>
      </c>
      <c r="AV398" s="5" t="str">
        <f>""</f>
        <v/>
      </c>
      <c r="AW398" s="5" t="str">
        <f>"48,00"</f>
        <v>48,00</v>
      </c>
      <c r="AX398" s="5" t="str">
        <f>"2017"</f>
        <v>2017</v>
      </c>
      <c r="AY398" s="5" t="str">
        <f>"нет"</f>
        <v>нет</v>
      </c>
      <c r="AZ398" s="5" t="str">
        <f>""</f>
        <v/>
      </c>
      <c r="BA398" s="5" t="str">
        <f>""</f>
        <v/>
      </c>
      <c r="BB398" s="5" t="str">
        <f>""</f>
        <v/>
      </c>
      <c r="BC398" s="5" t="str">
        <f>"нет"</f>
        <v>нет</v>
      </c>
      <c r="BD398" s="5" t="str">
        <f>""</f>
        <v/>
      </c>
      <c r="BE398" s="5" t="str">
        <f>""</f>
        <v/>
      </c>
      <c r="BF398" s="5" t="str">
        <f>""</f>
        <v/>
      </c>
      <c r="BG398" s="5" t="str">
        <f>""</f>
        <v/>
      </c>
      <c r="BH398" s="5" t="str">
        <f>"60,00"</f>
        <v>60,00</v>
      </c>
      <c r="BI398" s="5" t="str">
        <f>"2016"</f>
        <v>2016</v>
      </c>
      <c r="BJ398" s="5" t="str">
        <f t="shared" si="652"/>
        <v>нет</v>
      </c>
      <c r="BK398" s="5" t="str">
        <f>""</f>
        <v/>
      </c>
      <c r="BL398" s="5" t="str">
        <f>""</f>
        <v/>
      </c>
      <c r="BM398" s="5" t="str">
        <f>""</f>
        <v/>
      </c>
      <c r="BN398" s="5" t="str">
        <f t="shared" si="653"/>
        <v>нет</v>
      </c>
      <c r="BO398" s="5" t="str">
        <f>""</f>
        <v/>
      </c>
      <c r="BP398" s="5" t="str">
        <f>""</f>
        <v/>
      </c>
      <c r="BQ398" s="5" t="str">
        <f>""</f>
        <v/>
      </c>
      <c r="BR398" s="5" t="str">
        <f>""</f>
        <v/>
      </c>
      <c r="BS398" s="5" t="str">
        <f>"65,00"</f>
        <v>65,00</v>
      </c>
      <c r="BT398" s="5" t="str">
        <f>"2015"</f>
        <v>2015</v>
      </c>
      <c r="BU398" s="5" t="str">
        <f t="shared" si="633"/>
        <v>нет</v>
      </c>
      <c r="BV398" s="5" t="str">
        <f t="shared" si="647"/>
        <v>x</v>
      </c>
      <c r="BW398" s="5" t="str">
        <f t="shared" si="647"/>
        <v>x</v>
      </c>
      <c r="BX398" s="5" t="str">
        <f t="shared" si="647"/>
        <v>x</v>
      </c>
      <c r="BY398" s="5" t="str">
        <f t="shared" si="645"/>
        <v>нет</v>
      </c>
      <c r="BZ398" s="5" t="str">
        <f t="shared" ref="BZ398:CB415" si="655">"x"</f>
        <v>x</v>
      </c>
      <c r="CA398" s="5" t="str">
        <f t="shared" si="655"/>
        <v>x</v>
      </c>
      <c r="CB398" s="5" t="str">
        <f t="shared" si="655"/>
        <v>x</v>
      </c>
      <c r="CC398" s="5" t="str">
        <f>""</f>
        <v/>
      </c>
      <c r="CD398" s="5" t="str">
        <f>"50,00"</f>
        <v>50,00</v>
      </c>
      <c r="CE398" s="5" t="str">
        <f>"2021"</f>
        <v>2021</v>
      </c>
      <c r="CF398" s="5" t="str">
        <f>""</f>
        <v/>
      </c>
      <c r="CG398" s="5" t="str">
        <f>"45,00"</f>
        <v>45,00</v>
      </c>
      <c r="CH398" s="5" t="str">
        <f>"2023"</f>
        <v>2023</v>
      </c>
      <c r="CI398" s="5" t="str">
        <f>"80,00"</f>
        <v>80,00</v>
      </c>
      <c r="CJ398" s="5" t="str">
        <f>"2044"</f>
        <v>2044</v>
      </c>
    </row>
    <row r="399" spans="1:88" ht="11.25" customHeight="1">
      <c r="A399" s="3" t="str">
        <f>"1.386"</f>
        <v>1.386</v>
      </c>
      <c r="B399" s="4" t="str">
        <f>"д. Хорошево, ул. Центральная, д.1"</f>
        <v>д. Хорошево, ул. Центральная, д.1</v>
      </c>
      <c r="C399" s="7" t="str">
        <f>"1973"</f>
        <v>1973</v>
      </c>
      <c r="D399" s="5" t="str">
        <f>""</f>
        <v/>
      </c>
      <c r="E399" s="5" t="str">
        <f>"40,00"</f>
        <v>40,00</v>
      </c>
      <c r="F399" s="5" t="str">
        <f>"2026"</f>
        <v>2026</v>
      </c>
      <c r="G399" s="5" t="str">
        <f>"да"</f>
        <v>да</v>
      </c>
      <c r="H399" s="5" t="str">
        <f>""</f>
        <v/>
      </c>
      <c r="I399" s="5" t="str">
        <f>"15,00"</f>
        <v>15,00</v>
      </c>
      <c r="J399" s="5" t="str">
        <f>"2026"</f>
        <v>2026</v>
      </c>
      <c r="K399" s="5" t="str">
        <f>"да"</f>
        <v>да</v>
      </c>
      <c r="L399" s="5" t="str">
        <f>""</f>
        <v/>
      </c>
      <c r="M399" s="5" t="str">
        <f>"15,00"</f>
        <v>15,00</v>
      </c>
      <c r="N399" s="5" t="str">
        <f>"2026"</f>
        <v>2026</v>
      </c>
      <c r="O399" s="8" t="str">
        <f>""</f>
        <v/>
      </c>
      <c r="P399" s="5" t="str">
        <f>"40,00"</f>
        <v>40,00</v>
      </c>
      <c r="Q399" s="5" t="str">
        <f>"2024"</f>
        <v>2024</v>
      </c>
      <c r="R399" s="5" t="str">
        <f t="shared" si="623"/>
        <v>нет</v>
      </c>
      <c r="S399" s="5" t="str">
        <f>""</f>
        <v/>
      </c>
      <c r="T399" s="5" t="str">
        <f>""</f>
        <v/>
      </c>
      <c r="U399" s="5" t="str">
        <f>""</f>
        <v/>
      </c>
      <c r="V399" s="5" t="str">
        <f t="shared" si="624"/>
        <v>нет</v>
      </c>
      <c r="W399" s="5" t="str">
        <f>""</f>
        <v/>
      </c>
      <c r="X399" s="5" t="str">
        <f>""</f>
        <v/>
      </c>
      <c r="Y399" s="9" t="str">
        <f>""</f>
        <v/>
      </c>
      <c r="Z399" s="5" t="str">
        <f>""</f>
        <v/>
      </c>
      <c r="AA399" s="5" t="str">
        <f>"20,00"</f>
        <v>20,00</v>
      </c>
      <c r="AB399" s="5" t="str">
        <f>"2026"</f>
        <v>2026</v>
      </c>
      <c r="AC399" s="5" t="str">
        <f t="shared" si="643"/>
        <v>нет</v>
      </c>
      <c r="AD399" s="5" t="str">
        <f>""</f>
        <v/>
      </c>
      <c r="AE399" s="5" t="str">
        <f>""</f>
        <v/>
      </c>
      <c r="AF399" s="5" t="str">
        <f>""</f>
        <v/>
      </c>
      <c r="AG399" s="5" t="str">
        <f t="shared" si="644"/>
        <v>нет</v>
      </c>
      <c r="AH399" s="5" t="str">
        <f>""</f>
        <v/>
      </c>
      <c r="AI399" s="5" t="str">
        <f>""</f>
        <v/>
      </c>
      <c r="AJ399" s="5" t="str">
        <f>""</f>
        <v/>
      </c>
      <c r="AK399" s="8" t="str">
        <f>""</f>
        <v/>
      </c>
      <c r="AL399" s="5" t="str">
        <f>"65,00"</f>
        <v>65,00</v>
      </c>
      <c r="AM399" s="5" t="str">
        <f>"2016"</f>
        <v>2016</v>
      </c>
      <c r="AN399" s="5" t="str">
        <f t="shared" si="625"/>
        <v>нет</v>
      </c>
      <c r="AO399" s="5" t="str">
        <f>""</f>
        <v/>
      </c>
      <c r="AP399" s="5" t="str">
        <f>""</f>
        <v/>
      </c>
      <c r="AQ399" s="5" t="str">
        <f>""</f>
        <v/>
      </c>
      <c r="AR399" s="5" t="str">
        <f t="shared" si="626"/>
        <v>нет</v>
      </c>
      <c r="AS399" s="5" t="str">
        <f>""</f>
        <v/>
      </c>
      <c r="AT399" s="5" t="str">
        <f>""</f>
        <v/>
      </c>
      <c r="AU399" s="5" t="str">
        <f>""</f>
        <v/>
      </c>
      <c r="AV399" s="5" t="str">
        <f>""</f>
        <v/>
      </c>
      <c r="AW399" s="5" t="str">
        <f>"54,00"</f>
        <v>54,00</v>
      </c>
      <c r="AX399" s="5" t="str">
        <f>"2017"</f>
        <v>2017</v>
      </c>
      <c r="AY399" s="5" t="str">
        <f>"нет"</f>
        <v>нет</v>
      </c>
      <c r="AZ399" s="5" t="str">
        <f>""</f>
        <v/>
      </c>
      <c r="BA399" s="5" t="str">
        <f>""</f>
        <v/>
      </c>
      <c r="BB399" s="5" t="str">
        <f>""</f>
        <v/>
      </c>
      <c r="BC399" s="5" t="str">
        <f>"нет"</f>
        <v>нет</v>
      </c>
      <c r="BD399" s="5" t="str">
        <f>""</f>
        <v/>
      </c>
      <c r="BE399" s="5" t="str">
        <f>""</f>
        <v/>
      </c>
      <c r="BF399" s="5" t="str">
        <f>""</f>
        <v/>
      </c>
      <c r="BG399" s="5" t="str">
        <f>""</f>
        <v/>
      </c>
      <c r="BH399" s="5" t="str">
        <f>"50,00"</f>
        <v>50,00</v>
      </c>
      <c r="BI399" s="5" t="str">
        <f>"2018"</f>
        <v>2018</v>
      </c>
      <c r="BJ399" s="5" t="str">
        <f t="shared" si="652"/>
        <v>нет</v>
      </c>
      <c r="BK399" s="5" t="str">
        <f>""</f>
        <v/>
      </c>
      <c r="BL399" s="5" t="str">
        <f>""</f>
        <v/>
      </c>
      <c r="BM399" s="5" t="str">
        <f>""</f>
        <v/>
      </c>
      <c r="BN399" s="5" t="str">
        <f t="shared" si="653"/>
        <v>нет</v>
      </c>
      <c r="BO399" s="5" t="str">
        <f>""</f>
        <v/>
      </c>
      <c r="BP399" s="5" t="str">
        <f>""</f>
        <v/>
      </c>
      <c r="BQ399" s="5" t="str">
        <f>""</f>
        <v/>
      </c>
      <c r="BR399" s="5" t="str">
        <f>""</f>
        <v/>
      </c>
      <c r="BS399" s="5" t="str">
        <f>"42,00"</f>
        <v>42,00</v>
      </c>
      <c r="BT399" s="5" t="str">
        <f>"2025"</f>
        <v>2025</v>
      </c>
      <c r="BU399" s="5" t="str">
        <f t="shared" si="633"/>
        <v>нет</v>
      </c>
      <c r="BV399" s="5" t="str">
        <f t="shared" si="647"/>
        <v>x</v>
      </c>
      <c r="BW399" s="5" t="str">
        <f t="shared" si="647"/>
        <v>x</v>
      </c>
      <c r="BX399" s="5" t="str">
        <f t="shared" si="647"/>
        <v>x</v>
      </c>
      <c r="BY399" s="5" t="str">
        <f t="shared" si="645"/>
        <v>нет</v>
      </c>
      <c r="BZ399" s="5" t="str">
        <f t="shared" si="655"/>
        <v>x</v>
      </c>
      <c r="CA399" s="5" t="str">
        <f t="shared" si="655"/>
        <v>x</v>
      </c>
      <c r="CB399" s="5" t="str">
        <f t="shared" si="655"/>
        <v>x</v>
      </c>
      <c r="CC399" s="5" t="str">
        <f>""</f>
        <v/>
      </c>
      <c r="CD399" s="5" t="str">
        <f>"30,00"</f>
        <v>30,00</v>
      </c>
      <c r="CE399" s="5" t="str">
        <f>"2028"</f>
        <v>2028</v>
      </c>
      <c r="CF399" s="5" t="str">
        <f>""</f>
        <v/>
      </c>
      <c r="CG399" s="5" t="str">
        <f>"20,00"</f>
        <v>20,00</v>
      </c>
      <c r="CH399" s="5" t="str">
        <f>"2029"</f>
        <v>2029</v>
      </c>
      <c r="CI399" s="5" t="str">
        <f>"45,00"</f>
        <v>45,00</v>
      </c>
      <c r="CJ399" s="5" t="str">
        <f>"2041"</f>
        <v>2041</v>
      </c>
    </row>
    <row r="400" spans="1:88" ht="11.25" customHeight="1">
      <c r="A400" s="3" t="str">
        <f>"1.387"</f>
        <v>1.387</v>
      </c>
      <c r="B400" s="4" t="str">
        <f>"д. Хорошево, ул. Центральная, д.11"</f>
        <v>д. Хорошево, ул. Центральная, д.11</v>
      </c>
      <c r="C400" s="7" t="str">
        <f>"1990"</f>
        <v>1990</v>
      </c>
      <c r="D400" s="5" t="str">
        <f>""</f>
        <v/>
      </c>
      <c r="E400" s="5" t="str">
        <f>"20,00"</f>
        <v>20,00</v>
      </c>
      <c r="F400" s="5" t="str">
        <f>"2025"</f>
        <v>2025</v>
      </c>
      <c r="G400" s="5" t="str">
        <f>"да"</f>
        <v>да</v>
      </c>
      <c r="H400" s="5" t="str">
        <f>""</f>
        <v/>
      </c>
      <c r="I400" s="5" t="str">
        <f>"12,00"</f>
        <v>12,00</v>
      </c>
      <c r="J400" s="5" t="str">
        <f>"2025"</f>
        <v>2025</v>
      </c>
      <c r="K400" s="5" t="str">
        <f>"да"</f>
        <v>да</v>
      </c>
      <c r="L400" s="5" t="str">
        <f>""</f>
        <v/>
      </c>
      <c r="M400" s="5" t="str">
        <f>"12,00"</f>
        <v>12,00</v>
      </c>
      <c r="N400" s="5" t="str">
        <f>"2025"</f>
        <v>2025</v>
      </c>
      <c r="O400" s="8" t="str">
        <f>""</f>
        <v/>
      </c>
      <c r="P400" s="5" t="str">
        <f>"30,00"</f>
        <v>30,00</v>
      </c>
      <c r="Q400" s="5" t="str">
        <f>"2027"</f>
        <v>2027</v>
      </c>
      <c r="R400" s="5" t="str">
        <f>"да"</f>
        <v>да</v>
      </c>
      <c r="S400" s="5" t="str">
        <f>""</f>
        <v/>
      </c>
      <c r="T400" s="5" t="str">
        <f>"20,00"</f>
        <v>20,00</v>
      </c>
      <c r="U400" s="5" t="str">
        <f>"2028"</f>
        <v>2028</v>
      </c>
      <c r="V400" s="5" t="str">
        <f>"да"</f>
        <v>да</v>
      </c>
      <c r="W400" s="5" t="str">
        <f>""</f>
        <v/>
      </c>
      <c r="X400" s="5" t="str">
        <f>"20,00"</f>
        <v>20,00</v>
      </c>
      <c r="Y400" s="9" t="str">
        <f>"2028"</f>
        <v>2028</v>
      </c>
      <c r="Z400" s="5" t="str">
        <f>""</f>
        <v/>
      </c>
      <c r="AA400" s="5" t="str">
        <f>"15,00"</f>
        <v>15,00</v>
      </c>
      <c r="AB400" s="5" t="str">
        <f>"2029"</f>
        <v>2029</v>
      </c>
      <c r="AC400" s="5" t="str">
        <f t="shared" si="643"/>
        <v>нет</v>
      </c>
      <c r="AD400" s="5" t="str">
        <f>""</f>
        <v/>
      </c>
      <c r="AE400" s="5" t="str">
        <f>""</f>
        <v/>
      </c>
      <c r="AF400" s="5" t="str">
        <f>""</f>
        <v/>
      </c>
      <c r="AG400" s="5" t="str">
        <f t="shared" si="644"/>
        <v>нет</v>
      </c>
      <c r="AH400" s="5" t="str">
        <f>""</f>
        <v/>
      </c>
      <c r="AI400" s="5" t="str">
        <f>""</f>
        <v/>
      </c>
      <c r="AJ400" s="5" t="str">
        <f>""</f>
        <v/>
      </c>
      <c r="AK400" s="8" t="str">
        <f>""</f>
        <v/>
      </c>
      <c r="AL400" s="5" t="str">
        <f>"55,00"</f>
        <v>55,00</v>
      </c>
      <c r="AM400" s="5" t="str">
        <f>"2018"</f>
        <v>2018</v>
      </c>
      <c r="AN400" s="5" t="str">
        <f>"да"</f>
        <v>да</v>
      </c>
      <c r="AO400" s="5" t="str">
        <f>""</f>
        <v/>
      </c>
      <c r="AP400" s="5" t="str">
        <f>"30,00"</f>
        <v>30,00</v>
      </c>
      <c r="AQ400" s="5" t="str">
        <f>"2018"</f>
        <v>2018</v>
      </c>
      <c r="AR400" s="5" t="str">
        <f>"да"</f>
        <v>да</v>
      </c>
      <c r="AS400" s="5" t="str">
        <f>""</f>
        <v/>
      </c>
      <c r="AT400" s="5" t="str">
        <f>"30,00"</f>
        <v>30,00</v>
      </c>
      <c r="AU400" s="5" t="str">
        <f>"2018"</f>
        <v>2018</v>
      </c>
      <c r="AV400" s="5" t="str">
        <f>""</f>
        <v/>
      </c>
      <c r="AW400" s="5" t="str">
        <f>"45,00"</f>
        <v>45,00</v>
      </c>
      <c r="AX400" s="5" t="str">
        <f>"2018"</f>
        <v>2018</v>
      </c>
      <c r="AY400" s="5" t="str">
        <f>"да"</f>
        <v>да</v>
      </c>
      <c r="AZ400" s="5" t="str">
        <f>""</f>
        <v/>
      </c>
      <c r="BA400" s="5" t="str">
        <f>"20,00"</f>
        <v>20,00</v>
      </c>
      <c r="BB400" s="5" t="str">
        <f>"2018"</f>
        <v>2018</v>
      </c>
      <c r="BC400" s="5" t="str">
        <f>"да"</f>
        <v>да</v>
      </c>
      <c r="BD400" s="5" t="str">
        <f>""</f>
        <v/>
      </c>
      <c r="BE400" s="5" t="str">
        <f>"20,00"</f>
        <v>20,00</v>
      </c>
      <c r="BF400" s="5" t="str">
        <f>"2018"</f>
        <v>2018</v>
      </c>
      <c r="BG400" s="5" t="str">
        <f>""</f>
        <v/>
      </c>
      <c r="BH400" s="5" t="str">
        <f>"48,00"</f>
        <v>48,00</v>
      </c>
      <c r="BI400" s="5" t="str">
        <f>"2018"</f>
        <v>2018</v>
      </c>
      <c r="BJ400" s="5" t="str">
        <f t="shared" si="652"/>
        <v>нет</v>
      </c>
      <c r="BK400" s="5" t="str">
        <f>""</f>
        <v/>
      </c>
      <c r="BL400" s="5" t="str">
        <f>""</f>
        <v/>
      </c>
      <c r="BM400" s="5" t="str">
        <f>""</f>
        <v/>
      </c>
      <c r="BN400" s="5" t="str">
        <f t="shared" si="653"/>
        <v>нет</v>
      </c>
      <c r="BO400" s="5" t="str">
        <f>""</f>
        <v/>
      </c>
      <c r="BP400" s="5" t="str">
        <f>""</f>
        <v/>
      </c>
      <c r="BQ400" s="5" t="str">
        <f>""</f>
        <v/>
      </c>
      <c r="BR400" s="5" t="str">
        <f>""</f>
        <v/>
      </c>
      <c r="BS400" s="5" t="str">
        <f>"72,00"</f>
        <v>72,00</v>
      </c>
      <c r="BT400" s="5" t="str">
        <f>"2017"</f>
        <v>2017</v>
      </c>
      <c r="BU400" s="5" t="str">
        <f t="shared" si="633"/>
        <v>нет</v>
      </c>
      <c r="BV400" s="5" t="str">
        <f t="shared" ref="BV400:BX419" si="656">"x"</f>
        <v>x</v>
      </c>
      <c r="BW400" s="5" t="str">
        <f t="shared" si="656"/>
        <v>x</v>
      </c>
      <c r="BX400" s="5" t="str">
        <f t="shared" si="656"/>
        <v>x</v>
      </c>
      <c r="BY400" s="5" t="str">
        <f t="shared" si="645"/>
        <v>нет</v>
      </c>
      <c r="BZ400" s="5" t="str">
        <f t="shared" si="655"/>
        <v>x</v>
      </c>
      <c r="CA400" s="5" t="str">
        <f t="shared" si="655"/>
        <v>x</v>
      </c>
      <c r="CB400" s="5" t="str">
        <f t="shared" si="655"/>
        <v>x</v>
      </c>
      <c r="CC400" s="5" t="str">
        <f>""</f>
        <v/>
      </c>
      <c r="CD400" s="5" t="str">
        <f>"20,00"</f>
        <v>20,00</v>
      </c>
      <c r="CE400" s="5" t="str">
        <f>"2030"</f>
        <v>2030</v>
      </c>
      <c r="CF400" s="5" t="str">
        <f>""</f>
        <v/>
      </c>
      <c r="CG400" s="5" t="str">
        <f>"15,00"</f>
        <v>15,00</v>
      </c>
      <c r="CH400" s="5" t="str">
        <f>"2036"</f>
        <v>2036</v>
      </c>
      <c r="CI400" s="5" t="str">
        <f>"16,00"</f>
        <v>16,00</v>
      </c>
      <c r="CJ400" s="5" t="str">
        <f>"2042"</f>
        <v>2042</v>
      </c>
    </row>
    <row r="401" spans="1:88" ht="11.25" customHeight="1">
      <c r="A401" s="3" t="str">
        <f>"1.388"</f>
        <v>1.388</v>
      </c>
      <c r="B401" s="4" t="str">
        <f>"д. Хорошево, ул. Центральная, д.12"</f>
        <v>д. Хорошево, ул. Центральная, д.12</v>
      </c>
      <c r="C401" s="7" t="str">
        <f>"1993"</f>
        <v>1993</v>
      </c>
      <c r="D401" s="5" t="str">
        <f>""</f>
        <v/>
      </c>
      <c r="E401" s="5" t="str">
        <f>"30,00"</f>
        <v>30,00</v>
      </c>
      <c r="F401" s="5" t="str">
        <f>"2028"</f>
        <v>2028</v>
      </c>
      <c r="G401" s="5" t="str">
        <f>"да"</f>
        <v>да</v>
      </c>
      <c r="H401" s="5" t="str">
        <f>""</f>
        <v/>
      </c>
      <c r="I401" s="5" t="str">
        <f>"15,00"</f>
        <v>15,00</v>
      </c>
      <c r="J401" s="5" t="str">
        <f>"2028"</f>
        <v>2028</v>
      </c>
      <c r="K401" s="5" t="str">
        <f>"да"</f>
        <v>да</v>
      </c>
      <c r="L401" s="5" t="str">
        <f>""</f>
        <v/>
      </c>
      <c r="M401" s="5" t="str">
        <f>"15,00"</f>
        <v>15,00</v>
      </c>
      <c r="N401" s="5" t="str">
        <f>"2028"</f>
        <v>2028</v>
      </c>
      <c r="O401" s="8" t="str">
        <f>""</f>
        <v/>
      </c>
      <c r="P401" s="5" t="str">
        <f>"68,00"</f>
        <v>68,00</v>
      </c>
      <c r="Q401" s="5" t="str">
        <f>"2018"</f>
        <v>2018</v>
      </c>
      <c r="R401" s="5" t="str">
        <f>"да"</f>
        <v>да</v>
      </c>
      <c r="S401" s="5" t="str">
        <f>""</f>
        <v/>
      </c>
      <c r="T401" s="5" t="str">
        <f>"30,00"</f>
        <v>30,00</v>
      </c>
      <c r="U401" s="5" t="str">
        <f>"2018"</f>
        <v>2018</v>
      </c>
      <c r="V401" s="5" t="str">
        <f>"да"</f>
        <v>да</v>
      </c>
      <c r="W401" s="5" t="str">
        <f>""</f>
        <v/>
      </c>
      <c r="X401" s="5" t="str">
        <f>"30,00"</f>
        <v>30,00</v>
      </c>
      <c r="Y401" s="9" t="str">
        <f>"2018"</f>
        <v>2018</v>
      </c>
      <c r="Z401" s="5" t="str">
        <f>""</f>
        <v/>
      </c>
      <c r="AA401" s="5" t="str">
        <f>"20,00"</f>
        <v>20,00</v>
      </c>
      <c r="AB401" s="5" t="str">
        <f>"2032"</f>
        <v>2032</v>
      </c>
      <c r="AC401" s="5" t="str">
        <f t="shared" si="643"/>
        <v>нет</v>
      </c>
      <c r="AD401" s="5" t="str">
        <f>""</f>
        <v/>
      </c>
      <c r="AE401" s="5" t="str">
        <f>""</f>
        <v/>
      </c>
      <c r="AF401" s="5" t="str">
        <f>""</f>
        <v/>
      </c>
      <c r="AG401" s="5" t="str">
        <f t="shared" si="644"/>
        <v>нет</v>
      </c>
      <c r="AH401" s="5" t="str">
        <f>""</f>
        <v/>
      </c>
      <c r="AI401" s="5" t="str">
        <f>""</f>
        <v/>
      </c>
      <c r="AJ401" s="5" t="str">
        <f>""</f>
        <v/>
      </c>
      <c r="AK401" s="8" t="str">
        <f>""</f>
        <v/>
      </c>
      <c r="AL401" s="5" t="str">
        <f>"54,00"</f>
        <v>54,00</v>
      </c>
      <c r="AM401" s="5" t="str">
        <f>"2018"</f>
        <v>2018</v>
      </c>
      <c r="AN401" s="5" t="str">
        <f>"да"</f>
        <v>да</v>
      </c>
      <c r="AO401" s="5" t="str">
        <f>""</f>
        <v/>
      </c>
      <c r="AP401" s="5" t="str">
        <f>"20,00"</f>
        <v>20,00</v>
      </c>
      <c r="AQ401" s="5" t="str">
        <f>"2018"</f>
        <v>2018</v>
      </c>
      <c r="AR401" s="5" t="str">
        <f>"да"</f>
        <v>да</v>
      </c>
      <c r="AS401" s="5" t="str">
        <f>""</f>
        <v/>
      </c>
      <c r="AT401" s="5" t="str">
        <f>"20,00"</f>
        <v>20,00</v>
      </c>
      <c r="AU401" s="5" t="str">
        <f>"2018"</f>
        <v>2018</v>
      </c>
      <c r="AV401" s="5" t="str">
        <f>""</f>
        <v/>
      </c>
      <c r="AW401" s="5" t="str">
        <f>"59,00"</f>
        <v>59,00</v>
      </c>
      <c r="AX401" s="5" t="str">
        <f>"2018"</f>
        <v>2018</v>
      </c>
      <c r="AY401" s="5" t="str">
        <f>"да"</f>
        <v>да</v>
      </c>
      <c r="AZ401" s="5" t="str">
        <f>""</f>
        <v/>
      </c>
      <c r="BA401" s="5" t="str">
        <f>"30,00"</f>
        <v>30,00</v>
      </c>
      <c r="BB401" s="5" t="str">
        <f>"2018"</f>
        <v>2018</v>
      </c>
      <c r="BC401" s="5" t="str">
        <f>"да"</f>
        <v>да</v>
      </c>
      <c r="BD401" s="5" t="str">
        <f>""</f>
        <v/>
      </c>
      <c r="BE401" s="5" t="str">
        <f>"30,00"</f>
        <v>30,00</v>
      </c>
      <c r="BF401" s="5" t="str">
        <f>"2018"</f>
        <v>2018</v>
      </c>
      <c r="BG401" s="5" t="str">
        <f>""</f>
        <v/>
      </c>
      <c r="BH401" s="5" t="str">
        <f>"40,00"</f>
        <v>40,00</v>
      </c>
      <c r="BI401" s="5" t="str">
        <f>"2018"</f>
        <v>2018</v>
      </c>
      <c r="BJ401" s="5" t="str">
        <f t="shared" si="652"/>
        <v>нет</v>
      </c>
      <c r="BK401" s="5" t="str">
        <f>""</f>
        <v/>
      </c>
      <c r="BL401" s="5" t="str">
        <f>""</f>
        <v/>
      </c>
      <c r="BM401" s="5" t="str">
        <f>""</f>
        <v/>
      </c>
      <c r="BN401" s="5" t="str">
        <f t="shared" si="653"/>
        <v>нет</v>
      </c>
      <c r="BO401" s="5" t="str">
        <f>""</f>
        <v/>
      </c>
      <c r="BP401" s="5" t="str">
        <f>""</f>
        <v/>
      </c>
      <c r="BQ401" s="5" t="str">
        <f>""</f>
        <v/>
      </c>
      <c r="BR401" s="5" t="str">
        <f>""</f>
        <v/>
      </c>
      <c r="BS401" s="5" t="str">
        <f>"20,00"</f>
        <v>20,00</v>
      </c>
      <c r="BT401" s="5" t="str">
        <f>"2029"</f>
        <v>2029</v>
      </c>
      <c r="BU401" s="5" t="str">
        <f t="shared" si="633"/>
        <v>нет</v>
      </c>
      <c r="BV401" s="5" t="str">
        <f t="shared" si="656"/>
        <v>x</v>
      </c>
      <c r="BW401" s="5" t="str">
        <f t="shared" si="656"/>
        <v>x</v>
      </c>
      <c r="BX401" s="5" t="str">
        <f t="shared" si="656"/>
        <v>x</v>
      </c>
      <c r="BY401" s="5" t="str">
        <f t="shared" si="645"/>
        <v>нет</v>
      </c>
      <c r="BZ401" s="5" t="str">
        <f t="shared" si="655"/>
        <v>x</v>
      </c>
      <c r="CA401" s="5" t="str">
        <f t="shared" si="655"/>
        <v>x</v>
      </c>
      <c r="CB401" s="5" t="str">
        <f t="shared" si="655"/>
        <v>x</v>
      </c>
      <c r="CC401" s="5" t="str">
        <f>""</f>
        <v/>
      </c>
      <c r="CD401" s="5" t="str">
        <f>"15,00"</f>
        <v>15,00</v>
      </c>
      <c r="CE401" s="5" t="str">
        <f>"2032"</f>
        <v>2032</v>
      </c>
      <c r="CF401" s="5" t="str">
        <f>""</f>
        <v/>
      </c>
      <c r="CG401" s="5" t="str">
        <f>"12,00"</f>
        <v>12,00</v>
      </c>
      <c r="CH401" s="5" t="str">
        <f>"2033"</f>
        <v>2033</v>
      </c>
      <c r="CI401" s="5" t="str">
        <f>"25,00"</f>
        <v>25,00</v>
      </c>
      <c r="CJ401" s="5" t="str">
        <f>"2042"</f>
        <v>2042</v>
      </c>
    </row>
    <row r="402" spans="1:88" ht="11.25" customHeight="1">
      <c r="A402" s="3" t="str">
        <f>"1.389"</f>
        <v>1.389</v>
      </c>
      <c r="B402" s="4" t="str">
        <f>"д. Хорошево, ул. Центральная, д.15"</f>
        <v>д. Хорошево, ул. Центральная, д.15</v>
      </c>
      <c r="C402" s="7" t="str">
        <f>"1987"</f>
        <v>1987</v>
      </c>
      <c r="D402" s="5" t="str">
        <f>""</f>
        <v/>
      </c>
      <c r="E402" s="5" t="str">
        <f>"30,00"</f>
        <v>30,00</v>
      </c>
      <c r="F402" s="5" t="str">
        <f>"2032"</f>
        <v>2032</v>
      </c>
      <c r="G402" s="5" t="str">
        <f>"да"</f>
        <v>да</v>
      </c>
      <c r="H402" s="5" t="str">
        <f>""</f>
        <v/>
      </c>
      <c r="I402" s="5" t="str">
        <f>"12,00"</f>
        <v>12,00</v>
      </c>
      <c r="J402" s="5" t="str">
        <f>"2032"</f>
        <v>2032</v>
      </c>
      <c r="K402" s="5" t="str">
        <f>"да"</f>
        <v>да</v>
      </c>
      <c r="L402" s="5" t="str">
        <f>""</f>
        <v/>
      </c>
      <c r="M402" s="5" t="str">
        <f>"12,00"</f>
        <v>12,00</v>
      </c>
      <c r="N402" s="5" t="str">
        <f>"2032"</f>
        <v>2032</v>
      </c>
      <c r="O402" s="8" t="str">
        <f>""</f>
        <v/>
      </c>
      <c r="P402" s="5" t="str">
        <f>"15,00"</f>
        <v>15,00</v>
      </c>
      <c r="Q402" s="5" t="str">
        <f>"2033"</f>
        <v>2033</v>
      </c>
      <c r="R402" s="5" t="str">
        <f>"нет"</f>
        <v>нет</v>
      </c>
      <c r="S402" s="5" t="str">
        <f>""</f>
        <v/>
      </c>
      <c r="T402" s="5" t="str">
        <f>""</f>
        <v/>
      </c>
      <c r="U402" s="5" t="str">
        <f>""</f>
        <v/>
      </c>
      <c r="V402" s="5" t="str">
        <f>"нет"</f>
        <v>нет</v>
      </c>
      <c r="W402" s="5" t="str">
        <f>""</f>
        <v/>
      </c>
      <c r="X402" s="5" t="str">
        <f>""</f>
        <v/>
      </c>
      <c r="Y402" s="9" t="str">
        <f>""</f>
        <v/>
      </c>
      <c r="Z402" s="5" t="str">
        <f t="shared" ref="Z402:AJ403" si="657">"х"</f>
        <v>х</v>
      </c>
      <c r="AA402" s="5" t="str">
        <f t="shared" si="657"/>
        <v>х</v>
      </c>
      <c r="AB402" s="5" t="str">
        <f t="shared" si="657"/>
        <v>х</v>
      </c>
      <c r="AC402" s="5" t="str">
        <f t="shared" si="657"/>
        <v>х</v>
      </c>
      <c r="AD402" s="5" t="str">
        <f t="shared" si="657"/>
        <v>х</v>
      </c>
      <c r="AE402" s="5" t="str">
        <f t="shared" si="657"/>
        <v>х</v>
      </c>
      <c r="AF402" s="5" t="str">
        <f t="shared" si="657"/>
        <v>х</v>
      </c>
      <c r="AG402" s="5" t="str">
        <f t="shared" si="657"/>
        <v>х</v>
      </c>
      <c r="AH402" s="5" t="str">
        <f t="shared" si="657"/>
        <v>х</v>
      </c>
      <c r="AI402" s="5" t="str">
        <f t="shared" si="657"/>
        <v>х</v>
      </c>
      <c r="AJ402" s="5" t="str">
        <f t="shared" si="657"/>
        <v>х</v>
      </c>
      <c r="AK402" s="8" t="str">
        <f>""</f>
        <v/>
      </c>
      <c r="AL402" s="5" t="str">
        <f>"25,00"</f>
        <v>25,00</v>
      </c>
      <c r="AM402" s="5" t="str">
        <f>"2027"</f>
        <v>2027</v>
      </c>
      <c r="AN402" s="5" t="str">
        <f>"нет"</f>
        <v>нет</v>
      </c>
      <c r="AO402" s="5" t="str">
        <f>""</f>
        <v/>
      </c>
      <c r="AP402" s="5" t="str">
        <f>""</f>
        <v/>
      </c>
      <c r="AQ402" s="5" t="str">
        <f>""</f>
        <v/>
      </c>
      <c r="AR402" s="5" t="str">
        <f>"нет"</f>
        <v>нет</v>
      </c>
      <c r="AS402" s="5" t="str">
        <f>""</f>
        <v/>
      </c>
      <c r="AT402" s="5" t="str">
        <f>""</f>
        <v/>
      </c>
      <c r="AU402" s="5" t="str">
        <f>""</f>
        <v/>
      </c>
      <c r="AV402" s="5" t="str">
        <f>""</f>
        <v/>
      </c>
      <c r="AW402" s="5" t="str">
        <f>"28,00"</f>
        <v>28,00</v>
      </c>
      <c r="AX402" s="5" t="str">
        <f>"2029"</f>
        <v>2029</v>
      </c>
      <c r="AY402" s="5" t="str">
        <f>"нет"</f>
        <v>нет</v>
      </c>
      <c r="AZ402" s="5" t="str">
        <f>""</f>
        <v/>
      </c>
      <c r="BA402" s="5" t="str">
        <f>""</f>
        <v/>
      </c>
      <c r="BB402" s="5" t="str">
        <f>""</f>
        <v/>
      </c>
      <c r="BC402" s="5" t="str">
        <f>"нет"</f>
        <v>нет</v>
      </c>
      <c r="BD402" s="5" t="str">
        <f>""</f>
        <v/>
      </c>
      <c r="BE402" s="5" t="str">
        <f>""</f>
        <v/>
      </c>
      <c r="BF402" s="5" t="str">
        <f>""</f>
        <v/>
      </c>
      <c r="BG402" s="5" t="str">
        <f>""</f>
        <v/>
      </c>
      <c r="BH402" s="5" t="str">
        <f>"35,00"</f>
        <v>35,00</v>
      </c>
      <c r="BI402" s="5" t="str">
        <f>"2030"</f>
        <v>2030</v>
      </c>
      <c r="BJ402" s="5" t="str">
        <f t="shared" si="652"/>
        <v>нет</v>
      </c>
      <c r="BK402" s="5" t="str">
        <f>""</f>
        <v/>
      </c>
      <c r="BL402" s="5" t="str">
        <f>""</f>
        <v/>
      </c>
      <c r="BM402" s="5" t="str">
        <f>""</f>
        <v/>
      </c>
      <c r="BN402" s="5" t="str">
        <f t="shared" si="653"/>
        <v>нет</v>
      </c>
      <c r="BO402" s="5" t="str">
        <f>""</f>
        <v/>
      </c>
      <c r="BP402" s="5" t="str">
        <f>""</f>
        <v/>
      </c>
      <c r="BQ402" s="5" t="str">
        <f>""</f>
        <v/>
      </c>
      <c r="BR402" s="5" t="str">
        <f>""</f>
        <v/>
      </c>
      <c r="BS402" s="5" t="str">
        <f>"40,00"</f>
        <v>40,00</v>
      </c>
      <c r="BT402" s="5" t="str">
        <f>"2026"</f>
        <v>2026</v>
      </c>
      <c r="BU402" s="5" t="str">
        <f t="shared" si="633"/>
        <v>нет</v>
      </c>
      <c r="BV402" s="5" t="str">
        <f t="shared" si="656"/>
        <v>x</v>
      </c>
      <c r="BW402" s="5" t="str">
        <f t="shared" si="656"/>
        <v>x</v>
      </c>
      <c r="BX402" s="5" t="str">
        <f t="shared" si="656"/>
        <v>x</v>
      </c>
      <c r="BY402" s="5" t="str">
        <f t="shared" si="645"/>
        <v>нет</v>
      </c>
      <c r="BZ402" s="5" t="str">
        <f t="shared" si="655"/>
        <v>x</v>
      </c>
      <c r="CA402" s="5" t="str">
        <f t="shared" si="655"/>
        <v>x</v>
      </c>
      <c r="CB402" s="5" t="str">
        <f t="shared" si="655"/>
        <v>x</v>
      </c>
      <c r="CC402" s="5" t="str">
        <f>""</f>
        <v/>
      </c>
      <c r="CD402" s="5" t="str">
        <f>"35,00"</f>
        <v>35,00</v>
      </c>
      <c r="CE402" s="5" t="str">
        <f>"2032"</f>
        <v>2032</v>
      </c>
      <c r="CF402" s="5" t="str">
        <f>""</f>
        <v/>
      </c>
      <c r="CG402" s="5" t="str">
        <f>"30,00"</f>
        <v>30,00</v>
      </c>
      <c r="CH402" s="5" t="str">
        <f>"2034"</f>
        <v>2034</v>
      </c>
      <c r="CI402" s="5" t="str">
        <f>"12,00"</f>
        <v>12,00</v>
      </c>
      <c r="CJ402" s="5" t="str">
        <f>"2044"</f>
        <v>2044</v>
      </c>
    </row>
    <row r="403" spans="1:88" ht="11.25" customHeight="1">
      <c r="A403" s="3" t="str">
        <f>"1.390"</f>
        <v>1.390</v>
      </c>
      <c r="B403" s="4" t="str">
        <f>"д. Хорошево, ул. Центральная, д.17"</f>
        <v>д. Хорошево, ул. Центральная, д.17</v>
      </c>
      <c r="C403" s="7" t="str">
        <f>"1980"</f>
        <v>1980</v>
      </c>
      <c r="D403" s="5" t="str">
        <f t="shared" ref="D403:Y403" si="658">"х"</f>
        <v>х</v>
      </c>
      <c r="E403" s="5" t="str">
        <f t="shared" si="658"/>
        <v>х</v>
      </c>
      <c r="F403" s="5" t="str">
        <f t="shared" si="658"/>
        <v>х</v>
      </c>
      <c r="G403" s="5" t="str">
        <f t="shared" si="658"/>
        <v>х</v>
      </c>
      <c r="H403" s="5" t="str">
        <f t="shared" si="658"/>
        <v>х</v>
      </c>
      <c r="I403" s="5" t="str">
        <f t="shared" si="658"/>
        <v>х</v>
      </c>
      <c r="J403" s="5" t="str">
        <f t="shared" si="658"/>
        <v>х</v>
      </c>
      <c r="K403" s="5" t="str">
        <f t="shared" si="658"/>
        <v>х</v>
      </c>
      <c r="L403" s="5" t="str">
        <f t="shared" si="658"/>
        <v>х</v>
      </c>
      <c r="M403" s="5" t="str">
        <f t="shared" si="658"/>
        <v>х</v>
      </c>
      <c r="N403" s="5" t="str">
        <f t="shared" si="658"/>
        <v>х</v>
      </c>
      <c r="O403" s="8" t="str">
        <f t="shared" si="658"/>
        <v>х</v>
      </c>
      <c r="P403" s="5" t="str">
        <f t="shared" si="658"/>
        <v>х</v>
      </c>
      <c r="Q403" s="5" t="str">
        <f t="shared" si="658"/>
        <v>х</v>
      </c>
      <c r="R403" s="5" t="str">
        <f t="shared" si="658"/>
        <v>х</v>
      </c>
      <c r="S403" s="5" t="str">
        <f t="shared" si="658"/>
        <v>х</v>
      </c>
      <c r="T403" s="5" t="str">
        <f t="shared" si="658"/>
        <v>х</v>
      </c>
      <c r="U403" s="5" t="str">
        <f t="shared" si="658"/>
        <v>х</v>
      </c>
      <c r="V403" s="5" t="str">
        <f t="shared" si="658"/>
        <v>х</v>
      </c>
      <c r="W403" s="5" t="str">
        <f t="shared" si="658"/>
        <v>х</v>
      </c>
      <c r="X403" s="5" t="str">
        <f t="shared" si="658"/>
        <v>х</v>
      </c>
      <c r="Y403" s="9" t="str">
        <f t="shared" si="658"/>
        <v>х</v>
      </c>
      <c r="Z403" s="5" t="str">
        <f t="shared" si="657"/>
        <v>х</v>
      </c>
      <c r="AA403" s="5" t="str">
        <f t="shared" si="657"/>
        <v>х</v>
      </c>
      <c r="AB403" s="5" t="str">
        <f t="shared" si="657"/>
        <v>х</v>
      </c>
      <c r="AC403" s="5" t="str">
        <f t="shared" si="657"/>
        <v>х</v>
      </c>
      <c r="AD403" s="5" t="str">
        <f t="shared" si="657"/>
        <v>х</v>
      </c>
      <c r="AE403" s="5" t="str">
        <f t="shared" si="657"/>
        <v>х</v>
      </c>
      <c r="AF403" s="5" t="str">
        <f t="shared" si="657"/>
        <v>х</v>
      </c>
      <c r="AG403" s="5" t="str">
        <f t="shared" si="657"/>
        <v>х</v>
      </c>
      <c r="AH403" s="5" t="str">
        <f t="shared" si="657"/>
        <v>х</v>
      </c>
      <c r="AI403" s="5" t="str">
        <f t="shared" si="657"/>
        <v>х</v>
      </c>
      <c r="AJ403" s="5" t="str">
        <f t="shared" si="657"/>
        <v>х</v>
      </c>
      <c r="AK403" s="8" t="str">
        <f t="shared" ref="AK403:BQ403" si="659">"х"</f>
        <v>х</v>
      </c>
      <c r="AL403" s="5" t="str">
        <f t="shared" si="659"/>
        <v>х</v>
      </c>
      <c r="AM403" s="5" t="str">
        <f t="shared" si="659"/>
        <v>х</v>
      </c>
      <c r="AN403" s="5" t="str">
        <f t="shared" si="659"/>
        <v>х</v>
      </c>
      <c r="AO403" s="5" t="str">
        <f t="shared" si="659"/>
        <v>х</v>
      </c>
      <c r="AP403" s="5" t="str">
        <f t="shared" si="659"/>
        <v>х</v>
      </c>
      <c r="AQ403" s="5" t="str">
        <f t="shared" si="659"/>
        <v>х</v>
      </c>
      <c r="AR403" s="5" t="str">
        <f t="shared" si="659"/>
        <v>х</v>
      </c>
      <c r="AS403" s="5" t="str">
        <f t="shared" si="659"/>
        <v>х</v>
      </c>
      <c r="AT403" s="5" t="str">
        <f t="shared" si="659"/>
        <v>х</v>
      </c>
      <c r="AU403" s="5" t="str">
        <f t="shared" si="659"/>
        <v>х</v>
      </c>
      <c r="AV403" s="5" t="str">
        <f t="shared" si="659"/>
        <v>х</v>
      </c>
      <c r="AW403" s="5" t="str">
        <f t="shared" si="659"/>
        <v>х</v>
      </c>
      <c r="AX403" s="5" t="str">
        <f t="shared" si="659"/>
        <v>х</v>
      </c>
      <c r="AY403" s="5" t="str">
        <f t="shared" si="659"/>
        <v>х</v>
      </c>
      <c r="AZ403" s="5" t="str">
        <f t="shared" si="659"/>
        <v>х</v>
      </c>
      <c r="BA403" s="5" t="str">
        <f t="shared" si="659"/>
        <v>х</v>
      </c>
      <c r="BB403" s="5" t="str">
        <f t="shared" si="659"/>
        <v>х</v>
      </c>
      <c r="BC403" s="5" t="str">
        <f t="shared" si="659"/>
        <v>х</v>
      </c>
      <c r="BD403" s="5" t="str">
        <f t="shared" si="659"/>
        <v>х</v>
      </c>
      <c r="BE403" s="5" t="str">
        <f t="shared" si="659"/>
        <v>х</v>
      </c>
      <c r="BF403" s="5" t="str">
        <f t="shared" si="659"/>
        <v>х</v>
      </c>
      <c r="BG403" s="5" t="str">
        <f t="shared" si="659"/>
        <v>х</v>
      </c>
      <c r="BH403" s="5" t="str">
        <f t="shared" si="659"/>
        <v>х</v>
      </c>
      <c r="BI403" s="5" t="str">
        <f t="shared" si="659"/>
        <v>х</v>
      </c>
      <c r="BJ403" s="5" t="str">
        <f t="shared" si="659"/>
        <v>х</v>
      </c>
      <c r="BK403" s="5" t="str">
        <f t="shared" si="659"/>
        <v>х</v>
      </c>
      <c r="BL403" s="5" t="str">
        <f t="shared" si="659"/>
        <v>х</v>
      </c>
      <c r="BM403" s="5" t="str">
        <f t="shared" si="659"/>
        <v>х</v>
      </c>
      <c r="BN403" s="5" t="str">
        <f t="shared" si="659"/>
        <v>х</v>
      </c>
      <c r="BO403" s="5" t="str">
        <f t="shared" si="659"/>
        <v>х</v>
      </c>
      <c r="BP403" s="5" t="str">
        <f t="shared" si="659"/>
        <v>х</v>
      </c>
      <c r="BQ403" s="5" t="str">
        <f t="shared" si="659"/>
        <v>х</v>
      </c>
      <c r="BR403" s="5" t="str">
        <f>""</f>
        <v/>
      </c>
      <c r="BS403" s="5" t="str">
        <f>"65,00"</f>
        <v>65,00</v>
      </c>
      <c r="BT403" s="5" t="str">
        <f>"2021"</f>
        <v>2021</v>
      </c>
      <c r="BU403" s="5" t="str">
        <f t="shared" si="633"/>
        <v>нет</v>
      </c>
      <c r="BV403" s="5" t="str">
        <f t="shared" si="656"/>
        <v>x</v>
      </c>
      <c r="BW403" s="5" t="str">
        <f t="shared" si="656"/>
        <v>x</v>
      </c>
      <c r="BX403" s="5" t="str">
        <f t="shared" si="656"/>
        <v>x</v>
      </c>
      <c r="BY403" s="5" t="str">
        <f t="shared" si="645"/>
        <v>нет</v>
      </c>
      <c r="BZ403" s="5" t="str">
        <f t="shared" si="655"/>
        <v>x</v>
      </c>
      <c r="CA403" s="5" t="str">
        <f t="shared" si="655"/>
        <v>x</v>
      </c>
      <c r="CB403" s="5" t="str">
        <f t="shared" si="655"/>
        <v>x</v>
      </c>
      <c r="CC403" s="5" t="str">
        <f>""</f>
        <v/>
      </c>
      <c r="CD403" s="5" t="str">
        <f>"68,00"</f>
        <v>68,00</v>
      </c>
      <c r="CE403" s="5" t="str">
        <f>"2025"</f>
        <v>2025</v>
      </c>
      <c r="CF403" s="5" t="str">
        <f>""</f>
        <v/>
      </c>
      <c r="CG403" s="5" t="str">
        <f>"60,00"</f>
        <v>60,00</v>
      </c>
      <c r="CH403" s="5" t="str">
        <f>"2027"</f>
        <v>2027</v>
      </c>
      <c r="CI403" s="5" t="str">
        <f>"66,00"</f>
        <v>66,00</v>
      </c>
      <c r="CJ403" s="5" t="str">
        <f>"2042"</f>
        <v>2042</v>
      </c>
    </row>
    <row r="404" spans="1:88" ht="11.25" customHeight="1">
      <c r="A404" s="3" t="str">
        <f>"1.391"</f>
        <v>1.391</v>
      </c>
      <c r="B404" s="4" t="str">
        <f>"д. Хорошево, ул. Центральная, д.19"</f>
        <v>д. Хорошево, ул. Центральная, д.19</v>
      </c>
      <c r="C404" s="7" t="str">
        <f>"2009"</f>
        <v>2009</v>
      </c>
      <c r="D404" s="5" t="str">
        <f>""</f>
        <v/>
      </c>
      <c r="E404" s="5" t="str">
        <f>"10,00"</f>
        <v>10,00</v>
      </c>
      <c r="F404" s="5" t="str">
        <f>"2035"</f>
        <v>2035</v>
      </c>
      <c r="G404" s="5" t="str">
        <f>"нет"</f>
        <v>нет</v>
      </c>
      <c r="H404" s="5" t="str">
        <f>""</f>
        <v/>
      </c>
      <c r="I404" s="5" t="str">
        <f>""</f>
        <v/>
      </c>
      <c r="J404" s="5" t="str">
        <f>""</f>
        <v/>
      </c>
      <c r="K404" s="5" t="str">
        <f>"нет"</f>
        <v>нет</v>
      </c>
      <c r="L404" s="5" t="str">
        <f>""</f>
        <v/>
      </c>
      <c r="M404" s="5" t="str">
        <f>""</f>
        <v/>
      </c>
      <c r="N404" s="5" t="str">
        <f>""</f>
        <v/>
      </c>
      <c r="O404" s="8" t="str">
        <f>""</f>
        <v/>
      </c>
      <c r="P404" s="5" t="str">
        <f>"10,00"</f>
        <v>10,00</v>
      </c>
      <c r="Q404" s="5" t="str">
        <f>"2037"</f>
        <v>2037</v>
      </c>
      <c r="R404" s="5" t="str">
        <f>"нет"</f>
        <v>нет</v>
      </c>
      <c r="S404" s="5" t="str">
        <f>""</f>
        <v/>
      </c>
      <c r="T404" s="5" t="str">
        <f>""</f>
        <v/>
      </c>
      <c r="U404" s="5" t="str">
        <f>""</f>
        <v/>
      </c>
      <c r="V404" s="5" t="str">
        <f>"нет"</f>
        <v>нет</v>
      </c>
      <c r="W404" s="5" t="str">
        <f>""</f>
        <v/>
      </c>
      <c r="X404" s="5" t="str">
        <f>""</f>
        <v/>
      </c>
      <c r="Y404" s="9" t="str">
        <f>""</f>
        <v/>
      </c>
      <c r="Z404" s="5" t="str">
        <f>""</f>
        <v/>
      </c>
      <c r="AA404" s="5" t="str">
        <f>"3,00"</f>
        <v>3,00</v>
      </c>
      <c r="AB404" s="5" t="str">
        <f>"2040"</f>
        <v>2040</v>
      </c>
      <c r="AC404" s="5" t="str">
        <f>"нет"</f>
        <v>нет</v>
      </c>
      <c r="AD404" s="5" t="str">
        <f>""</f>
        <v/>
      </c>
      <c r="AE404" s="5" t="str">
        <f>""</f>
        <v/>
      </c>
      <c r="AF404" s="5" t="str">
        <f>""</f>
        <v/>
      </c>
      <c r="AG404" s="5" t="str">
        <f>"нет"</f>
        <v>нет</v>
      </c>
      <c r="AH404" s="5" t="str">
        <f>""</f>
        <v/>
      </c>
      <c r="AI404" s="5" t="str">
        <f>""</f>
        <v/>
      </c>
      <c r="AJ404" s="5" t="str">
        <f>""</f>
        <v/>
      </c>
      <c r="AK404" s="8" t="str">
        <f>""</f>
        <v/>
      </c>
      <c r="AL404" s="5" t="str">
        <f>"5,00"</f>
        <v>5,00</v>
      </c>
      <c r="AM404" s="5" t="str">
        <f>"2038"</f>
        <v>2038</v>
      </c>
      <c r="AN404" s="5" t="str">
        <f>"нет"</f>
        <v>нет</v>
      </c>
      <c r="AO404" s="5" t="str">
        <f>""</f>
        <v/>
      </c>
      <c r="AP404" s="5" t="str">
        <f>""</f>
        <v/>
      </c>
      <c r="AQ404" s="5" t="str">
        <f>""</f>
        <v/>
      </c>
      <c r="AR404" s="5" t="str">
        <f>"нет"</f>
        <v>нет</v>
      </c>
      <c r="AS404" s="5" t="str">
        <f>""</f>
        <v/>
      </c>
      <c r="AT404" s="5" t="str">
        <f>""</f>
        <v/>
      </c>
      <c r="AU404" s="5" t="str">
        <f>""</f>
        <v/>
      </c>
      <c r="AV404" s="5" t="str">
        <f>""</f>
        <v/>
      </c>
      <c r="AW404" s="5" t="str">
        <f>"3,00"</f>
        <v>3,00</v>
      </c>
      <c r="AX404" s="5" t="str">
        <f>"2039"</f>
        <v>2039</v>
      </c>
      <c r="AY404" s="5" t="str">
        <f>"нет"</f>
        <v>нет</v>
      </c>
      <c r="AZ404" s="5" t="str">
        <f>""</f>
        <v/>
      </c>
      <c r="BA404" s="5" t="str">
        <f>""</f>
        <v/>
      </c>
      <c r="BB404" s="5" t="str">
        <f>""</f>
        <v/>
      </c>
      <c r="BC404" s="5" t="str">
        <f>"нет"</f>
        <v>нет</v>
      </c>
      <c r="BD404" s="5" t="str">
        <f>""</f>
        <v/>
      </c>
      <c r="BE404" s="5" t="str">
        <f>""</f>
        <v/>
      </c>
      <c r="BF404" s="5" t="str">
        <f>""</f>
        <v/>
      </c>
      <c r="BG404" s="5" t="str">
        <f>""</f>
        <v/>
      </c>
      <c r="BH404" s="5" t="str">
        <f>"12,00"</f>
        <v>12,00</v>
      </c>
      <c r="BI404" s="5" t="str">
        <f>"2033"</f>
        <v>2033</v>
      </c>
      <c r="BJ404" s="5" t="str">
        <f>"нет"</f>
        <v>нет</v>
      </c>
      <c r="BK404" s="5" t="str">
        <f>""</f>
        <v/>
      </c>
      <c r="BL404" s="5" t="str">
        <f>""</f>
        <v/>
      </c>
      <c r="BM404" s="5" t="str">
        <f>""</f>
        <v/>
      </c>
      <c r="BN404" s="5" t="str">
        <f>"нет"</f>
        <v>нет</v>
      </c>
      <c r="BO404" s="5" t="str">
        <f>""</f>
        <v/>
      </c>
      <c r="BP404" s="5" t="str">
        <f>""</f>
        <v/>
      </c>
      <c r="BQ404" s="5" t="str">
        <f>""</f>
        <v/>
      </c>
      <c r="BR404" s="5" t="str">
        <f>""</f>
        <v/>
      </c>
      <c r="BS404" s="5" t="str">
        <f>"12,00"</f>
        <v>12,00</v>
      </c>
      <c r="BT404" s="5" t="str">
        <f>"2026"</f>
        <v>2026</v>
      </c>
      <c r="BU404" s="5" t="str">
        <f t="shared" si="633"/>
        <v>нет</v>
      </c>
      <c r="BV404" s="5" t="str">
        <f t="shared" si="656"/>
        <v>x</v>
      </c>
      <c r="BW404" s="5" t="str">
        <f t="shared" si="656"/>
        <v>x</v>
      </c>
      <c r="BX404" s="5" t="str">
        <f t="shared" si="656"/>
        <v>x</v>
      </c>
      <c r="BY404" s="5" t="str">
        <f t="shared" si="645"/>
        <v>нет</v>
      </c>
      <c r="BZ404" s="5" t="str">
        <f t="shared" si="655"/>
        <v>x</v>
      </c>
      <c r="CA404" s="5" t="str">
        <f t="shared" si="655"/>
        <v>x</v>
      </c>
      <c r="CB404" s="5" t="str">
        <f t="shared" si="655"/>
        <v>x</v>
      </c>
      <c r="CC404" s="5" t="str">
        <f>""</f>
        <v/>
      </c>
      <c r="CD404" s="5" t="str">
        <f>"5,00"</f>
        <v>5,00</v>
      </c>
      <c r="CE404" s="5" t="str">
        <f>"2038"</f>
        <v>2038</v>
      </c>
      <c r="CF404" s="5" t="str">
        <f>""</f>
        <v/>
      </c>
      <c r="CG404" s="5" t="str">
        <f>"3,00"</f>
        <v>3,00</v>
      </c>
      <c r="CH404" s="5" t="str">
        <f>"2038"</f>
        <v>2038</v>
      </c>
      <c r="CI404" s="5" t="str">
        <f>"2,00"</f>
        <v>2,00</v>
      </c>
      <c r="CJ404" s="5" t="str">
        <f>"2044"</f>
        <v>2044</v>
      </c>
    </row>
    <row r="405" spans="1:88" ht="11.25" customHeight="1">
      <c r="A405" s="3" t="str">
        <f>"1.392"</f>
        <v>1.392</v>
      </c>
      <c r="B405" s="4" t="str">
        <f>"д. Хорошево, ул. Центральная, д.2"</f>
        <v>д. Хорошево, ул. Центральная, д.2</v>
      </c>
      <c r="C405" s="7" t="str">
        <f>"1974"</f>
        <v>1974</v>
      </c>
      <c r="D405" s="5" t="str">
        <f>""</f>
        <v/>
      </c>
      <c r="E405" s="5" t="str">
        <f>"52,00"</f>
        <v>52,00</v>
      </c>
      <c r="F405" s="5" t="str">
        <f>"2019"</f>
        <v>2019</v>
      </c>
      <c r="G405" s="5" t="str">
        <f>"да"</f>
        <v>да</v>
      </c>
      <c r="H405" s="5" t="str">
        <f>""</f>
        <v/>
      </c>
      <c r="I405" s="5" t="str">
        <f>"35,00"</f>
        <v>35,00</v>
      </c>
      <c r="J405" s="5" t="str">
        <f>"2019"</f>
        <v>2019</v>
      </c>
      <c r="K405" s="5" t="str">
        <f>"да"</f>
        <v>да</v>
      </c>
      <c r="L405" s="5" t="str">
        <f>""</f>
        <v/>
      </c>
      <c r="M405" s="5" t="str">
        <f>"30,00"</f>
        <v>30,00</v>
      </c>
      <c r="N405" s="5" t="str">
        <f>"2019"</f>
        <v>2019</v>
      </c>
      <c r="O405" s="8" t="str">
        <f>""</f>
        <v/>
      </c>
      <c r="P405" s="5" t="str">
        <f>"35,00"</f>
        <v>35,00</v>
      </c>
      <c r="Q405" s="5" t="str">
        <f>"2026"</f>
        <v>2026</v>
      </c>
      <c r="R405" s="5" t="str">
        <f>"да"</f>
        <v>да</v>
      </c>
      <c r="S405" s="5" t="str">
        <f>""</f>
        <v/>
      </c>
      <c r="T405" s="5" t="str">
        <f>"20,00"</f>
        <v>20,00</v>
      </c>
      <c r="U405" s="5" t="str">
        <f>"2026"</f>
        <v>2026</v>
      </c>
      <c r="V405" s="5" t="str">
        <f>"да"</f>
        <v>да</v>
      </c>
      <c r="W405" s="5" t="str">
        <f>""</f>
        <v/>
      </c>
      <c r="X405" s="5" t="str">
        <f>"22,00"</f>
        <v>22,00</v>
      </c>
      <c r="Y405" s="9" t="str">
        <f>"2026"</f>
        <v>2026</v>
      </c>
      <c r="Z405" s="5" t="str">
        <f>""</f>
        <v/>
      </c>
      <c r="AA405" s="5" t="str">
        <f>"15,00"</f>
        <v>15,00</v>
      </c>
      <c r="AB405" s="5" t="str">
        <f>"2030"</f>
        <v>2030</v>
      </c>
      <c r="AC405" s="5" t="str">
        <f>"нет"</f>
        <v>нет</v>
      </c>
      <c r="AD405" s="5" t="str">
        <f>""</f>
        <v/>
      </c>
      <c r="AE405" s="5" t="str">
        <f>""</f>
        <v/>
      </c>
      <c r="AF405" s="5" t="str">
        <f>""</f>
        <v/>
      </c>
      <c r="AG405" s="5" t="str">
        <f>"нет"</f>
        <v>нет</v>
      </c>
      <c r="AH405" s="5" t="str">
        <f>""</f>
        <v/>
      </c>
      <c r="AI405" s="5" t="str">
        <f>""</f>
        <v/>
      </c>
      <c r="AJ405" s="5" t="str">
        <f>""</f>
        <v/>
      </c>
      <c r="AK405" s="8" t="str">
        <f>""</f>
        <v/>
      </c>
      <c r="AL405" s="5" t="str">
        <f>"45,00"</f>
        <v>45,00</v>
      </c>
      <c r="AM405" s="5" t="str">
        <f>"2021"</f>
        <v>2021</v>
      </c>
      <c r="AN405" s="5" t="str">
        <f>"да"</f>
        <v>да</v>
      </c>
      <c r="AO405" s="5" t="str">
        <f>""</f>
        <v/>
      </c>
      <c r="AP405" s="5" t="str">
        <f>"30,00"</f>
        <v>30,00</v>
      </c>
      <c r="AQ405" s="5" t="str">
        <f>"2021"</f>
        <v>2021</v>
      </c>
      <c r="AR405" s="5" t="str">
        <f>"да"</f>
        <v>да</v>
      </c>
      <c r="AS405" s="5" t="str">
        <f>""</f>
        <v/>
      </c>
      <c r="AT405" s="5" t="str">
        <f>"30,00"</f>
        <v>30,00</v>
      </c>
      <c r="AU405" s="5" t="str">
        <f>"2021"</f>
        <v>2021</v>
      </c>
      <c r="AV405" s="5" t="str">
        <f>""</f>
        <v/>
      </c>
      <c r="AW405" s="5" t="str">
        <f>"35,00"</f>
        <v>35,00</v>
      </c>
      <c r="AX405" s="5" t="str">
        <f>"2021"</f>
        <v>2021</v>
      </c>
      <c r="AY405" s="5" t="str">
        <f>"да"</f>
        <v>да</v>
      </c>
      <c r="AZ405" s="5" t="str">
        <f>""</f>
        <v/>
      </c>
      <c r="BA405" s="5" t="str">
        <f>"20,00"</f>
        <v>20,00</v>
      </c>
      <c r="BB405" s="5" t="str">
        <f>"2021"</f>
        <v>2021</v>
      </c>
      <c r="BC405" s="5" t="str">
        <f>"да"</f>
        <v>да</v>
      </c>
      <c r="BD405" s="5" t="str">
        <f>""</f>
        <v/>
      </c>
      <c r="BE405" s="5" t="str">
        <f>"20,00"</f>
        <v>20,00</v>
      </c>
      <c r="BF405" s="5" t="str">
        <f>"2021"</f>
        <v>2021</v>
      </c>
      <c r="BG405" s="5" t="str">
        <f>""</f>
        <v/>
      </c>
      <c r="BH405" s="5" t="str">
        <f>"15,00"</f>
        <v>15,00</v>
      </c>
      <c r="BI405" s="5" t="str">
        <f>"2022"</f>
        <v>2022</v>
      </c>
      <c r="BJ405" s="5" t="str">
        <f>"нет"</f>
        <v>нет</v>
      </c>
      <c r="BK405" s="5" t="str">
        <f>""</f>
        <v/>
      </c>
      <c r="BL405" s="5" t="str">
        <f>""</f>
        <v/>
      </c>
      <c r="BM405" s="5" t="str">
        <f>""</f>
        <v/>
      </c>
      <c r="BN405" s="5" t="str">
        <f>"нет"</f>
        <v>нет</v>
      </c>
      <c r="BO405" s="5" t="str">
        <f>""</f>
        <v/>
      </c>
      <c r="BP405" s="5" t="str">
        <f>""</f>
        <v/>
      </c>
      <c r="BQ405" s="5" t="str">
        <f>""</f>
        <v/>
      </c>
      <c r="BR405" s="5" t="str">
        <f>""</f>
        <v/>
      </c>
      <c r="BS405" s="5" t="str">
        <f>"30,00"</f>
        <v>30,00</v>
      </c>
      <c r="BT405" s="5" t="str">
        <f>"2025"</f>
        <v>2025</v>
      </c>
      <c r="BU405" s="5" t="str">
        <f t="shared" si="633"/>
        <v>нет</v>
      </c>
      <c r="BV405" s="5" t="str">
        <f t="shared" si="656"/>
        <v>x</v>
      </c>
      <c r="BW405" s="5" t="str">
        <f t="shared" si="656"/>
        <v>x</v>
      </c>
      <c r="BX405" s="5" t="str">
        <f t="shared" si="656"/>
        <v>x</v>
      </c>
      <c r="BY405" s="5" t="str">
        <f t="shared" si="645"/>
        <v>нет</v>
      </c>
      <c r="BZ405" s="5" t="str">
        <f t="shared" si="655"/>
        <v>x</v>
      </c>
      <c r="CA405" s="5" t="str">
        <f t="shared" si="655"/>
        <v>x</v>
      </c>
      <c r="CB405" s="5" t="str">
        <f t="shared" si="655"/>
        <v>x</v>
      </c>
      <c r="CC405" s="5" t="str">
        <f>""</f>
        <v/>
      </c>
      <c r="CD405" s="5" t="str">
        <f>"25,00"</f>
        <v>25,00</v>
      </c>
      <c r="CE405" s="5" t="str">
        <f>"2027"</f>
        <v>2027</v>
      </c>
      <c r="CF405" s="5" t="str">
        <f>""</f>
        <v/>
      </c>
      <c r="CG405" s="5" t="str">
        <f>"20,00"</f>
        <v>20,00</v>
      </c>
      <c r="CH405" s="5" t="str">
        <f>"2029"</f>
        <v>2029</v>
      </c>
      <c r="CI405" s="5" t="str">
        <f>"46,00"</f>
        <v>46,00</v>
      </c>
      <c r="CJ405" s="5" t="str">
        <f>"2042"</f>
        <v>2042</v>
      </c>
    </row>
    <row r="406" spans="1:88" ht="11.25" customHeight="1">
      <c r="A406" s="3" t="str">
        <f>"1.393"</f>
        <v>1.393</v>
      </c>
      <c r="B406" s="4" t="str">
        <f>"д. Хорошево, ул. Центральная, д.25"</f>
        <v>д. Хорошево, ул. Центральная, д.25</v>
      </c>
      <c r="C406" s="7" t="str">
        <f>"1977"</f>
        <v>1977</v>
      </c>
      <c r="D406" s="5" t="str">
        <f t="shared" ref="D406:AI406" si="660">"х"</f>
        <v>х</v>
      </c>
      <c r="E406" s="5" t="str">
        <f t="shared" si="660"/>
        <v>х</v>
      </c>
      <c r="F406" s="5" t="str">
        <f t="shared" si="660"/>
        <v>х</v>
      </c>
      <c r="G406" s="5" t="str">
        <f t="shared" si="660"/>
        <v>х</v>
      </c>
      <c r="H406" s="5" t="str">
        <f t="shared" si="660"/>
        <v>х</v>
      </c>
      <c r="I406" s="5" t="str">
        <f t="shared" si="660"/>
        <v>х</v>
      </c>
      <c r="J406" s="5" t="str">
        <f t="shared" si="660"/>
        <v>х</v>
      </c>
      <c r="K406" s="5" t="str">
        <f t="shared" si="660"/>
        <v>х</v>
      </c>
      <c r="L406" s="5" t="str">
        <f t="shared" si="660"/>
        <v>х</v>
      </c>
      <c r="M406" s="5" t="str">
        <f t="shared" si="660"/>
        <v>х</v>
      </c>
      <c r="N406" s="5" t="str">
        <f t="shared" si="660"/>
        <v>х</v>
      </c>
      <c r="O406" s="8" t="str">
        <f t="shared" si="660"/>
        <v>х</v>
      </c>
      <c r="P406" s="5" t="str">
        <f t="shared" si="660"/>
        <v>х</v>
      </c>
      <c r="Q406" s="5" t="str">
        <f t="shared" si="660"/>
        <v>х</v>
      </c>
      <c r="R406" s="5" t="str">
        <f t="shared" si="660"/>
        <v>х</v>
      </c>
      <c r="S406" s="5" t="str">
        <f t="shared" si="660"/>
        <v>х</v>
      </c>
      <c r="T406" s="5" t="str">
        <f t="shared" si="660"/>
        <v>х</v>
      </c>
      <c r="U406" s="5" t="str">
        <f t="shared" si="660"/>
        <v>х</v>
      </c>
      <c r="V406" s="5" t="str">
        <f t="shared" si="660"/>
        <v>х</v>
      </c>
      <c r="W406" s="5" t="str">
        <f t="shared" si="660"/>
        <v>х</v>
      </c>
      <c r="X406" s="5" t="str">
        <f t="shared" si="660"/>
        <v>х</v>
      </c>
      <c r="Y406" s="9" t="str">
        <f t="shared" si="660"/>
        <v>х</v>
      </c>
      <c r="Z406" s="5" t="str">
        <f t="shared" si="660"/>
        <v>х</v>
      </c>
      <c r="AA406" s="5" t="str">
        <f t="shared" si="660"/>
        <v>х</v>
      </c>
      <c r="AB406" s="5" t="str">
        <f t="shared" si="660"/>
        <v>х</v>
      </c>
      <c r="AC406" s="5" t="str">
        <f t="shared" si="660"/>
        <v>х</v>
      </c>
      <c r="AD406" s="5" t="str">
        <f t="shared" si="660"/>
        <v>х</v>
      </c>
      <c r="AE406" s="5" t="str">
        <f t="shared" si="660"/>
        <v>х</v>
      </c>
      <c r="AF406" s="5" t="str">
        <f t="shared" si="660"/>
        <v>х</v>
      </c>
      <c r="AG406" s="5" t="str">
        <f t="shared" si="660"/>
        <v>х</v>
      </c>
      <c r="AH406" s="5" t="str">
        <f t="shared" si="660"/>
        <v>х</v>
      </c>
      <c r="AI406" s="5" t="str">
        <f t="shared" si="660"/>
        <v>х</v>
      </c>
      <c r="AJ406" s="5" t="str">
        <f t="shared" ref="AJ406:BQ406" si="661">"х"</f>
        <v>х</v>
      </c>
      <c r="AK406" s="8" t="str">
        <f t="shared" si="661"/>
        <v>х</v>
      </c>
      <c r="AL406" s="5" t="str">
        <f t="shared" si="661"/>
        <v>х</v>
      </c>
      <c r="AM406" s="5" t="str">
        <f t="shared" si="661"/>
        <v>х</v>
      </c>
      <c r="AN406" s="5" t="str">
        <f t="shared" si="661"/>
        <v>х</v>
      </c>
      <c r="AO406" s="5" t="str">
        <f t="shared" si="661"/>
        <v>х</v>
      </c>
      <c r="AP406" s="5" t="str">
        <f t="shared" si="661"/>
        <v>х</v>
      </c>
      <c r="AQ406" s="5" t="str">
        <f t="shared" si="661"/>
        <v>х</v>
      </c>
      <c r="AR406" s="5" t="str">
        <f t="shared" si="661"/>
        <v>х</v>
      </c>
      <c r="AS406" s="5" t="str">
        <f t="shared" si="661"/>
        <v>х</v>
      </c>
      <c r="AT406" s="5" t="str">
        <f t="shared" si="661"/>
        <v>х</v>
      </c>
      <c r="AU406" s="5" t="str">
        <f t="shared" si="661"/>
        <v>х</v>
      </c>
      <c r="AV406" s="5" t="str">
        <f t="shared" si="661"/>
        <v>х</v>
      </c>
      <c r="AW406" s="5" t="str">
        <f t="shared" si="661"/>
        <v>х</v>
      </c>
      <c r="AX406" s="5" t="str">
        <f t="shared" si="661"/>
        <v>х</v>
      </c>
      <c r="AY406" s="5" t="str">
        <f t="shared" si="661"/>
        <v>х</v>
      </c>
      <c r="AZ406" s="5" t="str">
        <f t="shared" si="661"/>
        <v>х</v>
      </c>
      <c r="BA406" s="5" t="str">
        <f t="shared" si="661"/>
        <v>х</v>
      </c>
      <c r="BB406" s="5" t="str">
        <f t="shared" si="661"/>
        <v>х</v>
      </c>
      <c r="BC406" s="5" t="str">
        <f t="shared" si="661"/>
        <v>х</v>
      </c>
      <c r="BD406" s="5" t="str">
        <f t="shared" si="661"/>
        <v>х</v>
      </c>
      <c r="BE406" s="5" t="str">
        <f t="shared" si="661"/>
        <v>х</v>
      </c>
      <c r="BF406" s="5" t="str">
        <f t="shared" si="661"/>
        <v>х</v>
      </c>
      <c r="BG406" s="5" t="str">
        <f t="shared" si="661"/>
        <v>х</v>
      </c>
      <c r="BH406" s="5" t="str">
        <f t="shared" si="661"/>
        <v>х</v>
      </c>
      <c r="BI406" s="5" t="str">
        <f t="shared" si="661"/>
        <v>х</v>
      </c>
      <c r="BJ406" s="5" t="str">
        <f t="shared" si="661"/>
        <v>х</v>
      </c>
      <c r="BK406" s="5" t="str">
        <f t="shared" si="661"/>
        <v>х</v>
      </c>
      <c r="BL406" s="5" t="str">
        <f t="shared" si="661"/>
        <v>х</v>
      </c>
      <c r="BM406" s="5" t="str">
        <f t="shared" si="661"/>
        <v>х</v>
      </c>
      <c r="BN406" s="5" t="str">
        <f t="shared" si="661"/>
        <v>х</v>
      </c>
      <c r="BO406" s="5" t="str">
        <f t="shared" si="661"/>
        <v>х</v>
      </c>
      <c r="BP406" s="5" t="str">
        <f t="shared" si="661"/>
        <v>х</v>
      </c>
      <c r="BQ406" s="5" t="str">
        <f t="shared" si="661"/>
        <v>х</v>
      </c>
      <c r="BR406" s="5" t="str">
        <f>""</f>
        <v/>
      </c>
      <c r="BS406" s="5" t="str">
        <f>"30,00"</f>
        <v>30,00</v>
      </c>
      <c r="BT406" s="5" t="str">
        <f>"2024"</f>
        <v>2024</v>
      </c>
      <c r="BU406" s="5" t="str">
        <f t="shared" si="633"/>
        <v>нет</v>
      </c>
      <c r="BV406" s="5" t="str">
        <f t="shared" si="656"/>
        <v>x</v>
      </c>
      <c r="BW406" s="5" t="str">
        <f t="shared" si="656"/>
        <v>x</v>
      </c>
      <c r="BX406" s="5" t="str">
        <f t="shared" si="656"/>
        <v>x</v>
      </c>
      <c r="BY406" s="5" t="str">
        <f t="shared" si="645"/>
        <v>нет</v>
      </c>
      <c r="BZ406" s="5" t="str">
        <f t="shared" si="655"/>
        <v>x</v>
      </c>
      <c r="CA406" s="5" t="str">
        <f t="shared" si="655"/>
        <v>x</v>
      </c>
      <c r="CB406" s="5" t="str">
        <f t="shared" si="655"/>
        <v>x</v>
      </c>
      <c r="CC406" s="5" t="str">
        <f>""</f>
        <v/>
      </c>
      <c r="CD406" s="5" t="str">
        <f>"35,00"</f>
        <v>35,00</v>
      </c>
      <c r="CE406" s="5" t="str">
        <f>"2026"</f>
        <v>2026</v>
      </c>
      <c r="CF406" s="5" t="str">
        <f>""</f>
        <v/>
      </c>
      <c r="CG406" s="5" t="str">
        <f>"30,00"</f>
        <v>30,00</v>
      </c>
      <c r="CH406" s="5" t="str">
        <f>"2028"</f>
        <v>2028</v>
      </c>
      <c r="CI406" s="5" t="str">
        <f>"15,00"</f>
        <v>15,00</v>
      </c>
      <c r="CJ406" s="5" t="str">
        <f>"2043"</f>
        <v>2043</v>
      </c>
    </row>
    <row r="407" spans="1:88" ht="11.25" customHeight="1">
      <c r="A407" s="3" t="str">
        <f>"1.394"</f>
        <v>1.394</v>
      </c>
      <c r="B407" s="4" t="str">
        <f>"д. Хорошево, ул. Центральная, д.3"</f>
        <v>д. Хорошево, ул. Центральная, д.3</v>
      </c>
      <c r="C407" s="7" t="str">
        <f>"1979"</f>
        <v>1979</v>
      </c>
      <c r="D407" s="5" t="str">
        <f>""</f>
        <v/>
      </c>
      <c r="E407" s="5" t="str">
        <f>"45,00"</f>
        <v>45,00</v>
      </c>
      <c r="F407" s="5" t="str">
        <f>"2022"</f>
        <v>2022</v>
      </c>
      <c r="G407" s="5" t="str">
        <f t="shared" ref="G407:G427" si="662">"да"</f>
        <v>да</v>
      </c>
      <c r="H407" s="5" t="str">
        <f>""</f>
        <v/>
      </c>
      <c r="I407" s="5" t="str">
        <f>"30,00"</f>
        <v>30,00</v>
      </c>
      <c r="J407" s="5" t="str">
        <f>"2022"</f>
        <v>2022</v>
      </c>
      <c r="K407" s="5" t="str">
        <f t="shared" ref="K407:K427" si="663">"да"</f>
        <v>да</v>
      </c>
      <c r="L407" s="5" t="str">
        <f>""</f>
        <v/>
      </c>
      <c r="M407" s="5" t="str">
        <f>"30,00"</f>
        <v>30,00</v>
      </c>
      <c r="N407" s="5" t="str">
        <f>"2022"</f>
        <v>2022</v>
      </c>
      <c r="O407" s="8" t="str">
        <f>""</f>
        <v/>
      </c>
      <c r="P407" s="5" t="str">
        <f>"38,00"</f>
        <v>38,00</v>
      </c>
      <c r="Q407" s="5" t="str">
        <f>"2023"</f>
        <v>2023</v>
      </c>
      <c r="R407" s="5" t="str">
        <f t="shared" ref="R407:R413" si="664">"да"</f>
        <v>да</v>
      </c>
      <c r="S407" s="5" t="str">
        <f>""</f>
        <v/>
      </c>
      <c r="T407" s="5" t="str">
        <f>"20,00"</f>
        <v>20,00</v>
      </c>
      <c r="U407" s="5" t="str">
        <f>"2023"</f>
        <v>2023</v>
      </c>
      <c r="V407" s="5" t="str">
        <f t="shared" ref="V407:V413" si="665">"да"</f>
        <v>да</v>
      </c>
      <c r="W407" s="5" t="str">
        <f>""</f>
        <v/>
      </c>
      <c r="X407" s="5" t="str">
        <f>"20,00"</f>
        <v>20,00</v>
      </c>
      <c r="Y407" s="9" t="str">
        <f>"2023"</f>
        <v>2023</v>
      </c>
      <c r="Z407" s="5" t="str">
        <f>""</f>
        <v/>
      </c>
      <c r="AA407" s="5" t="str">
        <f>"15,00"</f>
        <v>15,00</v>
      </c>
      <c r="AB407" s="5" t="str">
        <f>"2037"</f>
        <v>2037</v>
      </c>
      <c r="AC407" s="5" t="str">
        <f t="shared" ref="AC407:AC427" si="666">"нет"</f>
        <v>нет</v>
      </c>
      <c r="AD407" s="5" t="str">
        <f>""</f>
        <v/>
      </c>
      <c r="AE407" s="5" t="str">
        <f>""</f>
        <v/>
      </c>
      <c r="AF407" s="5" t="str">
        <f>""</f>
        <v/>
      </c>
      <c r="AG407" s="5" t="str">
        <f t="shared" ref="AG407:AG427" si="667">"нет"</f>
        <v>нет</v>
      </c>
      <c r="AH407" s="5" t="str">
        <f>""</f>
        <v/>
      </c>
      <c r="AI407" s="5" t="str">
        <f>""</f>
        <v/>
      </c>
      <c r="AJ407" s="5" t="str">
        <f>""</f>
        <v/>
      </c>
      <c r="AK407" s="8" t="str">
        <f>""</f>
        <v/>
      </c>
      <c r="AL407" s="5" t="str">
        <f>"65,00"</f>
        <v>65,00</v>
      </c>
      <c r="AM407" s="5" t="str">
        <f>"2018"</f>
        <v>2018</v>
      </c>
      <c r="AN407" s="5" t="str">
        <f t="shared" ref="AN407:AN415" si="668">"да"</f>
        <v>да</v>
      </c>
      <c r="AO407" s="5" t="str">
        <f>""</f>
        <v/>
      </c>
      <c r="AP407" s="5" t="str">
        <f>"45,00"</f>
        <v>45,00</v>
      </c>
      <c r="AQ407" s="5" t="str">
        <f>"2018"</f>
        <v>2018</v>
      </c>
      <c r="AR407" s="5" t="str">
        <f t="shared" ref="AR407:AR415" si="669">"да"</f>
        <v>да</v>
      </c>
      <c r="AS407" s="5" t="str">
        <f>""</f>
        <v/>
      </c>
      <c r="AT407" s="5" t="str">
        <f>"30,00"</f>
        <v>30,00</v>
      </c>
      <c r="AU407" s="5" t="str">
        <f>"2018"</f>
        <v>2018</v>
      </c>
      <c r="AV407" s="5" t="str">
        <f>""</f>
        <v/>
      </c>
      <c r="AW407" s="5" t="str">
        <f>"48,00"</f>
        <v>48,00</v>
      </c>
      <c r="AX407" s="5" t="str">
        <f>"2018"</f>
        <v>2018</v>
      </c>
      <c r="AY407" s="5" t="str">
        <f t="shared" ref="AY407:AY413" si="670">"да"</f>
        <v>да</v>
      </c>
      <c r="AZ407" s="5" t="str">
        <f>""</f>
        <v/>
      </c>
      <c r="BA407" s="5" t="str">
        <f>"35,00"</f>
        <v>35,00</v>
      </c>
      <c r="BB407" s="5" t="str">
        <f>"2018"</f>
        <v>2018</v>
      </c>
      <c r="BC407" s="5" t="str">
        <f t="shared" ref="BC407:BC413" si="671">"да"</f>
        <v>да</v>
      </c>
      <c r="BD407" s="5" t="str">
        <f>""</f>
        <v/>
      </c>
      <c r="BE407" s="5" t="str">
        <f>"30,00"</f>
        <v>30,00</v>
      </c>
      <c r="BF407" s="5" t="str">
        <f>"2018"</f>
        <v>2018</v>
      </c>
      <c r="BG407" s="5" t="str">
        <f>""</f>
        <v/>
      </c>
      <c r="BH407" s="5" t="str">
        <f>"32,00"</f>
        <v>32,00</v>
      </c>
      <c r="BI407" s="5" t="str">
        <f>"2018"</f>
        <v>2018</v>
      </c>
      <c r="BJ407" s="5" t="str">
        <f t="shared" ref="BJ407:BJ427" si="672">"нет"</f>
        <v>нет</v>
      </c>
      <c r="BK407" s="5" t="str">
        <f>""</f>
        <v/>
      </c>
      <c r="BL407" s="5" t="str">
        <f>""</f>
        <v/>
      </c>
      <c r="BM407" s="5" t="str">
        <f>""</f>
        <v/>
      </c>
      <c r="BN407" s="5" t="str">
        <f t="shared" ref="BN407:BN427" si="673">"нет"</f>
        <v>нет</v>
      </c>
      <c r="BO407" s="5" t="str">
        <f>""</f>
        <v/>
      </c>
      <c r="BP407" s="5" t="str">
        <f>""</f>
        <v/>
      </c>
      <c r="BQ407" s="5" t="str">
        <f>""</f>
        <v/>
      </c>
      <c r="BR407" s="5" t="str">
        <f>""</f>
        <v/>
      </c>
      <c r="BS407" s="5" t="str">
        <f>"30,00"</f>
        <v>30,00</v>
      </c>
      <c r="BT407" s="5" t="str">
        <f>"2030"</f>
        <v>2030</v>
      </c>
      <c r="BU407" s="5" t="str">
        <f t="shared" si="633"/>
        <v>нет</v>
      </c>
      <c r="BV407" s="5" t="str">
        <f t="shared" si="656"/>
        <v>x</v>
      </c>
      <c r="BW407" s="5" t="str">
        <f t="shared" si="656"/>
        <v>x</v>
      </c>
      <c r="BX407" s="5" t="str">
        <f t="shared" si="656"/>
        <v>x</v>
      </c>
      <c r="BY407" s="5" t="str">
        <f t="shared" si="645"/>
        <v>нет</v>
      </c>
      <c r="BZ407" s="5" t="str">
        <f t="shared" si="655"/>
        <v>x</v>
      </c>
      <c r="CA407" s="5" t="str">
        <f t="shared" si="655"/>
        <v>x</v>
      </c>
      <c r="CB407" s="5" t="str">
        <f t="shared" si="655"/>
        <v>x</v>
      </c>
      <c r="CC407" s="5" t="str">
        <f>""</f>
        <v/>
      </c>
      <c r="CD407" s="5" t="str">
        <f>"30,00"</f>
        <v>30,00</v>
      </c>
      <c r="CE407" s="5" t="str">
        <f>"2027"</f>
        <v>2027</v>
      </c>
      <c r="CF407" s="5" t="str">
        <f>""</f>
        <v/>
      </c>
      <c r="CG407" s="5" t="str">
        <f>"28,00"</f>
        <v>28,00</v>
      </c>
      <c r="CH407" s="5" t="str">
        <f>"2031"</f>
        <v>2031</v>
      </c>
      <c r="CI407" s="5" t="str">
        <f>"42,00"</f>
        <v>42,00</v>
      </c>
      <c r="CJ407" s="5" t="str">
        <f>"2040"</f>
        <v>2040</v>
      </c>
    </row>
    <row r="408" spans="1:88" ht="11.25" customHeight="1">
      <c r="A408" s="3" t="str">
        <f>"1.395"</f>
        <v>1.395</v>
      </c>
      <c r="B408" s="4" t="str">
        <f>"д. Хорошево, ул. Центральная, д.4"</f>
        <v>д. Хорошево, ул. Центральная, д.4</v>
      </c>
      <c r="C408" s="7" t="str">
        <f>"1980"</f>
        <v>1980</v>
      </c>
      <c r="D408" s="5" t="str">
        <f>""</f>
        <v/>
      </c>
      <c r="E408" s="5" t="str">
        <f>"40,00"</f>
        <v>40,00</v>
      </c>
      <c r="F408" s="5" t="str">
        <f>"2029"</f>
        <v>2029</v>
      </c>
      <c r="G408" s="5" t="str">
        <f t="shared" si="662"/>
        <v>да</v>
      </c>
      <c r="H408" s="5" t="str">
        <f>""</f>
        <v/>
      </c>
      <c r="I408" s="5" t="str">
        <f>"22,00"</f>
        <v>22,00</v>
      </c>
      <c r="J408" s="5" t="str">
        <f>"2029"</f>
        <v>2029</v>
      </c>
      <c r="K408" s="5" t="str">
        <f t="shared" si="663"/>
        <v>да</v>
      </c>
      <c r="L408" s="5" t="str">
        <f>""</f>
        <v/>
      </c>
      <c r="M408" s="5" t="str">
        <f>"30,00"</f>
        <v>30,00</v>
      </c>
      <c r="N408" s="5" t="str">
        <f>"2029"</f>
        <v>2029</v>
      </c>
      <c r="O408" s="8" t="str">
        <f>""</f>
        <v/>
      </c>
      <c r="P408" s="5" t="str">
        <f>"45,00"</f>
        <v>45,00</v>
      </c>
      <c r="Q408" s="5" t="str">
        <f>"2020"</f>
        <v>2020</v>
      </c>
      <c r="R408" s="5" t="str">
        <f t="shared" si="664"/>
        <v>да</v>
      </c>
      <c r="S408" s="5" t="str">
        <f>""</f>
        <v/>
      </c>
      <c r="T408" s="5" t="str">
        <f>"34,00"</f>
        <v>34,00</v>
      </c>
      <c r="U408" s="5" t="str">
        <f>"2020"</f>
        <v>2020</v>
      </c>
      <c r="V408" s="5" t="str">
        <f t="shared" si="665"/>
        <v>да</v>
      </c>
      <c r="W408" s="5" t="str">
        <f>""</f>
        <v/>
      </c>
      <c r="X408" s="5" t="str">
        <f>"34,00"</f>
        <v>34,00</v>
      </c>
      <c r="Y408" s="9" t="str">
        <f>"2020"</f>
        <v>2020</v>
      </c>
      <c r="Z408" s="5" t="str">
        <f>""</f>
        <v/>
      </c>
      <c r="AA408" s="5" t="str">
        <f>"13,00"</f>
        <v>13,00</v>
      </c>
      <c r="AB408" s="5" t="str">
        <f>"2029"</f>
        <v>2029</v>
      </c>
      <c r="AC408" s="5" t="str">
        <f t="shared" si="666"/>
        <v>нет</v>
      </c>
      <c r="AD408" s="5" t="str">
        <f>""</f>
        <v/>
      </c>
      <c r="AE408" s="5" t="str">
        <f>""</f>
        <v/>
      </c>
      <c r="AF408" s="5" t="str">
        <f>""</f>
        <v/>
      </c>
      <c r="AG408" s="5" t="str">
        <f t="shared" si="667"/>
        <v>нет</v>
      </c>
      <c r="AH408" s="5" t="str">
        <f>""</f>
        <v/>
      </c>
      <c r="AI408" s="5" t="str">
        <f>""</f>
        <v/>
      </c>
      <c r="AJ408" s="5" t="str">
        <f>""</f>
        <v/>
      </c>
      <c r="AK408" s="8" t="str">
        <f>""</f>
        <v/>
      </c>
      <c r="AL408" s="5" t="str">
        <f>"35,00"</f>
        <v>35,00</v>
      </c>
      <c r="AM408" s="5" t="str">
        <f>"2025"</f>
        <v>2025</v>
      </c>
      <c r="AN408" s="5" t="str">
        <f t="shared" si="668"/>
        <v>да</v>
      </c>
      <c r="AO408" s="5" t="str">
        <f>""</f>
        <v/>
      </c>
      <c r="AP408" s="5" t="str">
        <f>"24,00"</f>
        <v>24,00</v>
      </c>
      <c r="AQ408" s="5" t="str">
        <f>"2025"</f>
        <v>2025</v>
      </c>
      <c r="AR408" s="5" t="str">
        <f t="shared" si="669"/>
        <v>да</v>
      </c>
      <c r="AS408" s="5" t="str">
        <f>""</f>
        <v/>
      </c>
      <c r="AT408" s="5" t="str">
        <f>"20,00"</f>
        <v>20,00</v>
      </c>
      <c r="AU408" s="5" t="str">
        <f>"2025"</f>
        <v>2025</v>
      </c>
      <c r="AV408" s="5" t="str">
        <f>""</f>
        <v/>
      </c>
      <c r="AW408" s="5" t="str">
        <f>"30,00"</f>
        <v>30,00</v>
      </c>
      <c r="AX408" s="5" t="str">
        <f>"2025"</f>
        <v>2025</v>
      </c>
      <c r="AY408" s="5" t="str">
        <f t="shared" si="670"/>
        <v>да</v>
      </c>
      <c r="AZ408" s="5" t="str">
        <f>""</f>
        <v/>
      </c>
      <c r="BA408" s="5" t="str">
        <f>"15,00"</f>
        <v>15,00</v>
      </c>
      <c r="BB408" s="5" t="str">
        <f>"2025"</f>
        <v>2025</v>
      </c>
      <c r="BC408" s="5" t="str">
        <f t="shared" si="671"/>
        <v>да</v>
      </c>
      <c r="BD408" s="5" t="str">
        <f>""</f>
        <v/>
      </c>
      <c r="BE408" s="5" t="str">
        <f>"12,00"</f>
        <v>12,00</v>
      </c>
      <c r="BF408" s="5" t="str">
        <f>"2025"</f>
        <v>2025</v>
      </c>
      <c r="BG408" s="5" t="str">
        <f>""</f>
        <v/>
      </c>
      <c r="BH408" s="5" t="str">
        <f>"40,00"</f>
        <v>40,00</v>
      </c>
      <c r="BI408" s="5" t="str">
        <f>"2024"</f>
        <v>2024</v>
      </c>
      <c r="BJ408" s="5" t="str">
        <f t="shared" si="672"/>
        <v>нет</v>
      </c>
      <c r="BK408" s="5" t="str">
        <f>""</f>
        <v/>
      </c>
      <c r="BL408" s="5" t="str">
        <f>""</f>
        <v/>
      </c>
      <c r="BM408" s="5" t="str">
        <f>""</f>
        <v/>
      </c>
      <c r="BN408" s="5" t="str">
        <f t="shared" si="673"/>
        <v>нет</v>
      </c>
      <c r="BO408" s="5" t="str">
        <f>""</f>
        <v/>
      </c>
      <c r="BP408" s="5" t="str">
        <f>""</f>
        <v/>
      </c>
      <c r="BQ408" s="5" t="str">
        <f>""</f>
        <v/>
      </c>
      <c r="BR408" s="5" t="str">
        <f>"2013"</f>
        <v>2013</v>
      </c>
      <c r="BS408" s="5" t="str">
        <f>"3,00"</f>
        <v>3,00</v>
      </c>
      <c r="BT408" s="5" t="str">
        <f>"2027"</f>
        <v>2027</v>
      </c>
      <c r="BU408" s="5" t="str">
        <f t="shared" si="633"/>
        <v>нет</v>
      </c>
      <c r="BV408" s="5" t="str">
        <f t="shared" si="656"/>
        <v>x</v>
      </c>
      <c r="BW408" s="5" t="str">
        <f t="shared" si="656"/>
        <v>x</v>
      </c>
      <c r="BX408" s="5" t="str">
        <f t="shared" si="656"/>
        <v>x</v>
      </c>
      <c r="BY408" s="5" t="str">
        <f t="shared" si="645"/>
        <v>нет</v>
      </c>
      <c r="BZ408" s="5" t="str">
        <f t="shared" si="655"/>
        <v>x</v>
      </c>
      <c r="CA408" s="5" t="str">
        <f t="shared" si="655"/>
        <v>x</v>
      </c>
      <c r="CB408" s="5" t="str">
        <f t="shared" si="655"/>
        <v>x</v>
      </c>
      <c r="CC408" s="5" t="str">
        <f>""</f>
        <v/>
      </c>
      <c r="CD408" s="5" t="str">
        <f>"20,00"</f>
        <v>20,00</v>
      </c>
      <c r="CE408" s="5" t="str">
        <f>"2026"</f>
        <v>2026</v>
      </c>
      <c r="CF408" s="5" t="str">
        <f>""</f>
        <v/>
      </c>
      <c r="CG408" s="5" t="str">
        <f>"30,00"</f>
        <v>30,00</v>
      </c>
      <c r="CH408" s="5" t="str">
        <f>"2028"</f>
        <v>2028</v>
      </c>
      <c r="CI408" s="5" t="str">
        <f>"37,00"</f>
        <v>37,00</v>
      </c>
      <c r="CJ408" s="5" t="str">
        <f>"2042"</f>
        <v>2042</v>
      </c>
    </row>
    <row r="409" spans="1:88" ht="11.25" customHeight="1">
      <c r="A409" s="3" t="str">
        <f>"1.396"</f>
        <v>1.396</v>
      </c>
      <c r="B409" s="4" t="str">
        <f>"д. Хорошево, ул. Центральная, д.5"</f>
        <v>д. Хорошево, ул. Центральная, д.5</v>
      </c>
      <c r="C409" s="7" t="str">
        <f>"1980"</f>
        <v>1980</v>
      </c>
      <c r="D409" s="5" t="str">
        <f>""</f>
        <v/>
      </c>
      <c r="E409" s="5" t="str">
        <f>"36,00"</f>
        <v>36,00</v>
      </c>
      <c r="F409" s="5" t="str">
        <f>"2033"</f>
        <v>2033</v>
      </c>
      <c r="G409" s="5" t="str">
        <f t="shared" si="662"/>
        <v>да</v>
      </c>
      <c r="H409" s="5" t="str">
        <f>""</f>
        <v/>
      </c>
      <c r="I409" s="5" t="str">
        <f>"15,00"</f>
        <v>15,00</v>
      </c>
      <c r="J409" s="5" t="str">
        <f>"2033"</f>
        <v>2033</v>
      </c>
      <c r="K409" s="5" t="str">
        <f t="shared" si="663"/>
        <v>да</v>
      </c>
      <c r="L409" s="5" t="str">
        <f>""</f>
        <v/>
      </c>
      <c r="M409" s="5" t="str">
        <f>"15,00"</f>
        <v>15,00</v>
      </c>
      <c r="N409" s="5" t="str">
        <f>"2033"</f>
        <v>2033</v>
      </c>
      <c r="O409" s="8" t="str">
        <f>""</f>
        <v/>
      </c>
      <c r="P409" s="5" t="str">
        <f>"52,00"</f>
        <v>52,00</v>
      </c>
      <c r="Q409" s="5" t="str">
        <f>"2020"</f>
        <v>2020</v>
      </c>
      <c r="R409" s="5" t="str">
        <f t="shared" si="664"/>
        <v>да</v>
      </c>
      <c r="S409" s="5" t="str">
        <f>""</f>
        <v/>
      </c>
      <c r="T409" s="5" t="str">
        <f>"35,00"</f>
        <v>35,00</v>
      </c>
      <c r="U409" s="5" t="str">
        <f>"2020"</f>
        <v>2020</v>
      </c>
      <c r="V409" s="5" t="str">
        <f t="shared" si="665"/>
        <v>да</v>
      </c>
      <c r="W409" s="5" t="str">
        <f>""</f>
        <v/>
      </c>
      <c r="X409" s="5" t="str">
        <f>"35,00"</f>
        <v>35,00</v>
      </c>
      <c r="Y409" s="9" t="str">
        <f>"2020"</f>
        <v>2020</v>
      </c>
      <c r="Z409" s="5" t="str">
        <f>""</f>
        <v/>
      </c>
      <c r="AA409" s="5" t="str">
        <f>"20,00"</f>
        <v>20,00</v>
      </c>
      <c r="AB409" s="5" t="str">
        <f>"2034"</f>
        <v>2034</v>
      </c>
      <c r="AC409" s="5" t="str">
        <f t="shared" si="666"/>
        <v>нет</v>
      </c>
      <c r="AD409" s="5" t="str">
        <f>""</f>
        <v/>
      </c>
      <c r="AE409" s="5" t="str">
        <f>""</f>
        <v/>
      </c>
      <c r="AF409" s="5" t="str">
        <f>""</f>
        <v/>
      </c>
      <c r="AG409" s="5" t="str">
        <f t="shared" si="667"/>
        <v>нет</v>
      </c>
      <c r="AH409" s="5" t="str">
        <f>""</f>
        <v/>
      </c>
      <c r="AI409" s="5" t="str">
        <f>""</f>
        <v/>
      </c>
      <c r="AJ409" s="5" t="str">
        <f>""</f>
        <v/>
      </c>
      <c r="AK409" s="8" t="str">
        <f>""</f>
        <v/>
      </c>
      <c r="AL409" s="5" t="str">
        <f>"30,00"</f>
        <v>30,00</v>
      </c>
      <c r="AM409" s="5" t="str">
        <f>"2031"</f>
        <v>2031</v>
      </c>
      <c r="AN409" s="5" t="str">
        <f t="shared" si="668"/>
        <v>да</v>
      </c>
      <c r="AO409" s="5" t="str">
        <f>""</f>
        <v/>
      </c>
      <c r="AP409" s="5" t="str">
        <f>"25,00"</f>
        <v>25,00</v>
      </c>
      <c r="AQ409" s="5" t="str">
        <f>"2031"</f>
        <v>2031</v>
      </c>
      <c r="AR409" s="5" t="str">
        <f t="shared" si="669"/>
        <v>да</v>
      </c>
      <c r="AS409" s="5" t="str">
        <f>""</f>
        <v/>
      </c>
      <c r="AT409" s="5" t="str">
        <f>"25,00"</f>
        <v>25,00</v>
      </c>
      <c r="AU409" s="5" t="str">
        <f>"2031"</f>
        <v>2031</v>
      </c>
      <c r="AV409" s="5" t="str">
        <f>""</f>
        <v/>
      </c>
      <c r="AW409" s="5" t="str">
        <f>"40,00"</f>
        <v>40,00</v>
      </c>
      <c r="AX409" s="5" t="str">
        <f>"2031"</f>
        <v>2031</v>
      </c>
      <c r="AY409" s="5" t="str">
        <f t="shared" si="670"/>
        <v>да</v>
      </c>
      <c r="AZ409" s="5" t="str">
        <f>""</f>
        <v/>
      </c>
      <c r="BA409" s="5" t="str">
        <f>"30,00"</f>
        <v>30,00</v>
      </c>
      <c r="BB409" s="5" t="str">
        <f>"2031"</f>
        <v>2031</v>
      </c>
      <c r="BC409" s="5" t="str">
        <f t="shared" si="671"/>
        <v>да</v>
      </c>
      <c r="BD409" s="5" t="str">
        <f>""</f>
        <v/>
      </c>
      <c r="BE409" s="5" t="str">
        <f>"30,00"</f>
        <v>30,00</v>
      </c>
      <c r="BF409" s="5" t="str">
        <f>"2031"</f>
        <v>2031</v>
      </c>
      <c r="BG409" s="5" t="str">
        <f>""</f>
        <v/>
      </c>
      <c r="BH409" s="5" t="str">
        <f>"35,00"</f>
        <v>35,00</v>
      </c>
      <c r="BI409" s="5" t="str">
        <f>"2030"</f>
        <v>2030</v>
      </c>
      <c r="BJ409" s="5" t="str">
        <f t="shared" si="672"/>
        <v>нет</v>
      </c>
      <c r="BK409" s="5" t="str">
        <f>""</f>
        <v/>
      </c>
      <c r="BL409" s="5" t="str">
        <f>""</f>
        <v/>
      </c>
      <c r="BM409" s="5" t="str">
        <f>""</f>
        <v/>
      </c>
      <c r="BN409" s="5" t="str">
        <f t="shared" si="673"/>
        <v>нет</v>
      </c>
      <c r="BO409" s="5" t="str">
        <f>""</f>
        <v/>
      </c>
      <c r="BP409" s="5" t="str">
        <f>""</f>
        <v/>
      </c>
      <c r="BQ409" s="5" t="str">
        <f>""</f>
        <v/>
      </c>
      <c r="BR409" s="5" t="str">
        <f>"2013"</f>
        <v>2013</v>
      </c>
      <c r="BS409" s="5" t="str">
        <f>"10,00"</f>
        <v>10,00</v>
      </c>
      <c r="BT409" s="5" t="str">
        <f>"2026"</f>
        <v>2026</v>
      </c>
      <c r="BU409" s="5" t="str">
        <f t="shared" si="633"/>
        <v>нет</v>
      </c>
      <c r="BV409" s="5" t="str">
        <f t="shared" si="656"/>
        <v>x</v>
      </c>
      <c r="BW409" s="5" t="str">
        <f t="shared" si="656"/>
        <v>x</v>
      </c>
      <c r="BX409" s="5" t="str">
        <f t="shared" si="656"/>
        <v>x</v>
      </c>
      <c r="BY409" s="5" t="str">
        <f t="shared" si="645"/>
        <v>нет</v>
      </c>
      <c r="BZ409" s="5" t="str">
        <f t="shared" si="655"/>
        <v>x</v>
      </c>
      <c r="CA409" s="5" t="str">
        <f t="shared" si="655"/>
        <v>x</v>
      </c>
      <c r="CB409" s="5" t="str">
        <f t="shared" si="655"/>
        <v>x</v>
      </c>
      <c r="CC409" s="5" t="str">
        <f>""</f>
        <v/>
      </c>
      <c r="CD409" s="5" t="str">
        <f>"20,00"</f>
        <v>20,00</v>
      </c>
      <c r="CE409" s="5" t="str">
        <f>"2028"</f>
        <v>2028</v>
      </c>
      <c r="CF409" s="5" t="str">
        <f>""</f>
        <v/>
      </c>
      <c r="CG409" s="5" t="str">
        <f>"20,00"</f>
        <v>20,00</v>
      </c>
      <c r="CH409" s="5" t="str">
        <f>"2028"</f>
        <v>2028</v>
      </c>
      <c r="CI409" s="5" t="str">
        <f>"27,00"</f>
        <v>27,00</v>
      </c>
      <c r="CJ409" s="5" t="str">
        <f>"2042"</f>
        <v>2042</v>
      </c>
    </row>
    <row r="410" spans="1:88" ht="11.25" customHeight="1">
      <c r="A410" s="3" t="str">
        <f>"1.397"</f>
        <v>1.397</v>
      </c>
      <c r="B410" s="4" t="str">
        <f>"д. Хорошево, ул. Центральная, д.6"</f>
        <v>д. Хорошево, ул. Центральная, д.6</v>
      </c>
      <c r="C410" s="7" t="str">
        <f>"1986"</f>
        <v>1986</v>
      </c>
      <c r="D410" s="5" t="str">
        <f>""</f>
        <v/>
      </c>
      <c r="E410" s="5" t="str">
        <f>"20,00"</f>
        <v>20,00</v>
      </c>
      <c r="F410" s="5" t="str">
        <f>"2029"</f>
        <v>2029</v>
      </c>
      <c r="G410" s="5" t="str">
        <f t="shared" si="662"/>
        <v>да</v>
      </c>
      <c r="H410" s="5" t="str">
        <f>""</f>
        <v/>
      </c>
      <c r="I410" s="5" t="str">
        <f>"15,00"</f>
        <v>15,00</v>
      </c>
      <c r="J410" s="5" t="str">
        <f>"2029"</f>
        <v>2029</v>
      </c>
      <c r="K410" s="5" t="str">
        <f t="shared" si="663"/>
        <v>да</v>
      </c>
      <c r="L410" s="5" t="str">
        <f>""</f>
        <v/>
      </c>
      <c r="M410" s="5" t="str">
        <f>"15,00"</f>
        <v>15,00</v>
      </c>
      <c r="N410" s="5" t="str">
        <f>"2029"</f>
        <v>2029</v>
      </c>
      <c r="O410" s="8" t="str">
        <f>""</f>
        <v/>
      </c>
      <c r="P410" s="5" t="str">
        <f>"50,00"</f>
        <v>50,00</v>
      </c>
      <c r="Q410" s="5" t="str">
        <f>"2020"</f>
        <v>2020</v>
      </c>
      <c r="R410" s="5" t="str">
        <f t="shared" si="664"/>
        <v>да</v>
      </c>
      <c r="S410" s="5" t="str">
        <f>""</f>
        <v/>
      </c>
      <c r="T410" s="5" t="str">
        <f>"20,00"</f>
        <v>20,00</v>
      </c>
      <c r="U410" s="5" t="str">
        <f>"2020"</f>
        <v>2020</v>
      </c>
      <c r="V410" s="5" t="str">
        <f t="shared" si="665"/>
        <v>да</v>
      </c>
      <c r="W410" s="5" t="str">
        <f>""</f>
        <v/>
      </c>
      <c r="X410" s="5" t="str">
        <f>"20,00"</f>
        <v>20,00</v>
      </c>
      <c r="Y410" s="9" t="str">
        <f>"2020"</f>
        <v>2020</v>
      </c>
      <c r="Z410" s="5" t="str">
        <f>""</f>
        <v/>
      </c>
      <c r="AA410" s="5" t="str">
        <f>"24,00"</f>
        <v>24,00</v>
      </c>
      <c r="AB410" s="5" t="str">
        <f>"2033"</f>
        <v>2033</v>
      </c>
      <c r="AC410" s="5" t="str">
        <f t="shared" si="666"/>
        <v>нет</v>
      </c>
      <c r="AD410" s="5" t="str">
        <f>""</f>
        <v/>
      </c>
      <c r="AE410" s="5" t="str">
        <f>""</f>
        <v/>
      </c>
      <c r="AF410" s="5" t="str">
        <f>""</f>
        <v/>
      </c>
      <c r="AG410" s="5" t="str">
        <f t="shared" si="667"/>
        <v>нет</v>
      </c>
      <c r="AH410" s="5" t="str">
        <f>""</f>
        <v/>
      </c>
      <c r="AI410" s="5" t="str">
        <f>""</f>
        <v/>
      </c>
      <c r="AJ410" s="5" t="str">
        <f>""</f>
        <v/>
      </c>
      <c r="AK410" s="8" t="str">
        <f>""</f>
        <v/>
      </c>
      <c r="AL410" s="5" t="str">
        <f>"45,00"</f>
        <v>45,00</v>
      </c>
      <c r="AM410" s="5" t="str">
        <f>"2020"</f>
        <v>2020</v>
      </c>
      <c r="AN410" s="5" t="str">
        <f t="shared" si="668"/>
        <v>да</v>
      </c>
      <c r="AO410" s="5" t="str">
        <f>""</f>
        <v/>
      </c>
      <c r="AP410" s="5" t="str">
        <f>"20,00"</f>
        <v>20,00</v>
      </c>
      <c r="AQ410" s="5" t="str">
        <f>"2020"</f>
        <v>2020</v>
      </c>
      <c r="AR410" s="5" t="str">
        <f t="shared" si="669"/>
        <v>да</v>
      </c>
      <c r="AS410" s="5" t="str">
        <f>""</f>
        <v/>
      </c>
      <c r="AT410" s="5" t="str">
        <f>"20,00"</f>
        <v>20,00</v>
      </c>
      <c r="AU410" s="5" t="str">
        <f>"2020"</f>
        <v>2020</v>
      </c>
      <c r="AV410" s="5" t="str">
        <f>""</f>
        <v/>
      </c>
      <c r="AW410" s="5" t="str">
        <f>"35,00"</f>
        <v>35,00</v>
      </c>
      <c r="AX410" s="5" t="str">
        <f>"2023"</f>
        <v>2023</v>
      </c>
      <c r="AY410" s="5" t="str">
        <f t="shared" si="670"/>
        <v>да</v>
      </c>
      <c r="AZ410" s="5" t="str">
        <f>""</f>
        <v/>
      </c>
      <c r="BA410" s="5" t="str">
        <f>"20,00"</f>
        <v>20,00</v>
      </c>
      <c r="BB410" s="5" t="str">
        <f>"2023"</f>
        <v>2023</v>
      </c>
      <c r="BC410" s="5" t="str">
        <f t="shared" si="671"/>
        <v>да</v>
      </c>
      <c r="BD410" s="5" t="str">
        <f>""</f>
        <v/>
      </c>
      <c r="BE410" s="5" t="str">
        <f>"20,00"</f>
        <v>20,00</v>
      </c>
      <c r="BF410" s="5" t="str">
        <f>"2023"</f>
        <v>2023</v>
      </c>
      <c r="BG410" s="5" t="str">
        <f>""</f>
        <v/>
      </c>
      <c r="BH410" s="5" t="str">
        <f>"22,00"</f>
        <v>22,00</v>
      </c>
      <c r="BI410" s="5" t="str">
        <f>"2028"</f>
        <v>2028</v>
      </c>
      <c r="BJ410" s="5" t="str">
        <f t="shared" si="672"/>
        <v>нет</v>
      </c>
      <c r="BK410" s="5" t="str">
        <f>""</f>
        <v/>
      </c>
      <c r="BL410" s="5" t="str">
        <f>""</f>
        <v/>
      </c>
      <c r="BM410" s="5" t="str">
        <f>""</f>
        <v/>
      </c>
      <c r="BN410" s="5" t="str">
        <f t="shared" si="673"/>
        <v>нет</v>
      </c>
      <c r="BO410" s="5" t="str">
        <f>""</f>
        <v/>
      </c>
      <c r="BP410" s="5" t="str">
        <f>""</f>
        <v/>
      </c>
      <c r="BQ410" s="5" t="str">
        <f>""</f>
        <v/>
      </c>
      <c r="BR410" s="5" t="str">
        <f>""</f>
        <v/>
      </c>
      <c r="BS410" s="5" t="str">
        <f>"20,00"</f>
        <v>20,00</v>
      </c>
      <c r="BT410" s="5" t="str">
        <f>"2026"</f>
        <v>2026</v>
      </c>
      <c r="BU410" s="5" t="str">
        <f t="shared" si="633"/>
        <v>нет</v>
      </c>
      <c r="BV410" s="5" t="str">
        <f t="shared" si="656"/>
        <v>x</v>
      </c>
      <c r="BW410" s="5" t="str">
        <f t="shared" si="656"/>
        <v>x</v>
      </c>
      <c r="BX410" s="5" t="str">
        <f t="shared" si="656"/>
        <v>x</v>
      </c>
      <c r="BY410" s="5" t="str">
        <f t="shared" ref="BY410:BY441" si="674">"нет"</f>
        <v>нет</v>
      </c>
      <c r="BZ410" s="5" t="str">
        <f t="shared" si="655"/>
        <v>x</v>
      </c>
      <c r="CA410" s="5" t="str">
        <f t="shared" si="655"/>
        <v>x</v>
      </c>
      <c r="CB410" s="5" t="str">
        <f t="shared" si="655"/>
        <v>x</v>
      </c>
      <c r="CC410" s="5" t="str">
        <f>""</f>
        <v/>
      </c>
      <c r="CD410" s="5" t="str">
        <f>"15,00"</f>
        <v>15,00</v>
      </c>
      <c r="CE410" s="5" t="str">
        <f>"2034"</f>
        <v>2034</v>
      </c>
      <c r="CF410" s="5" t="str">
        <f>""</f>
        <v/>
      </c>
      <c r="CG410" s="5" t="str">
        <f>"12,00"</f>
        <v>12,00</v>
      </c>
      <c r="CH410" s="5" t="str">
        <f>"2034"</f>
        <v>2034</v>
      </c>
      <c r="CI410" s="5" t="str">
        <f>"18,00"</f>
        <v>18,00</v>
      </c>
      <c r="CJ410" s="5" t="str">
        <f>"2040"</f>
        <v>2040</v>
      </c>
    </row>
    <row r="411" spans="1:88" ht="11.25" customHeight="1">
      <c r="A411" s="3" t="str">
        <f>"1.398"</f>
        <v>1.398</v>
      </c>
      <c r="B411" s="4" t="str">
        <f>"д. Хорошево, ул. Центральная, д.7"</f>
        <v>д. Хорошево, ул. Центральная, д.7</v>
      </c>
      <c r="C411" s="7" t="str">
        <f>"1983"</f>
        <v>1983</v>
      </c>
      <c r="D411" s="5" t="str">
        <f>""</f>
        <v/>
      </c>
      <c r="E411" s="5" t="str">
        <f>"65,00"</f>
        <v>65,00</v>
      </c>
      <c r="F411" s="5" t="str">
        <f>"2016"</f>
        <v>2016</v>
      </c>
      <c r="G411" s="5" t="str">
        <f t="shared" si="662"/>
        <v>да</v>
      </c>
      <c r="H411" s="5" t="str">
        <f>""</f>
        <v/>
      </c>
      <c r="I411" s="5" t="str">
        <f>"35,00"</f>
        <v>35,00</v>
      </c>
      <c r="J411" s="5" t="str">
        <f>"2016"</f>
        <v>2016</v>
      </c>
      <c r="K411" s="5" t="str">
        <f t="shared" si="663"/>
        <v>да</v>
      </c>
      <c r="L411" s="5" t="str">
        <f>""</f>
        <v/>
      </c>
      <c r="M411" s="5" t="str">
        <f>"35,00"</f>
        <v>35,00</v>
      </c>
      <c r="N411" s="5" t="str">
        <f>"2016"</f>
        <v>2016</v>
      </c>
      <c r="O411" s="8" t="str">
        <f>""</f>
        <v/>
      </c>
      <c r="P411" s="5" t="str">
        <f>"42,00"</f>
        <v>42,00</v>
      </c>
      <c r="Q411" s="5" t="str">
        <f>"2017"</f>
        <v>2017</v>
      </c>
      <c r="R411" s="5" t="str">
        <f t="shared" si="664"/>
        <v>да</v>
      </c>
      <c r="S411" s="5" t="str">
        <f>""</f>
        <v/>
      </c>
      <c r="T411" s="5" t="str">
        <f>"23,00"</f>
        <v>23,00</v>
      </c>
      <c r="U411" s="5" t="str">
        <f>"2017"</f>
        <v>2017</v>
      </c>
      <c r="V411" s="5" t="str">
        <f t="shared" si="665"/>
        <v>да</v>
      </c>
      <c r="W411" s="5" t="str">
        <f>""</f>
        <v/>
      </c>
      <c r="X411" s="5" t="str">
        <f>"25,00"</f>
        <v>25,00</v>
      </c>
      <c r="Y411" s="9" t="str">
        <f>"2017"</f>
        <v>2017</v>
      </c>
      <c r="Z411" s="5" t="str">
        <f>""</f>
        <v/>
      </c>
      <c r="AA411" s="5" t="str">
        <f>"20,00"</f>
        <v>20,00</v>
      </c>
      <c r="AB411" s="5" t="str">
        <f>"2031"</f>
        <v>2031</v>
      </c>
      <c r="AC411" s="5" t="str">
        <f t="shared" si="666"/>
        <v>нет</v>
      </c>
      <c r="AD411" s="5" t="str">
        <f>""</f>
        <v/>
      </c>
      <c r="AE411" s="5" t="str">
        <f>""</f>
        <v/>
      </c>
      <c r="AF411" s="5" t="str">
        <f>""</f>
        <v/>
      </c>
      <c r="AG411" s="5" t="str">
        <f t="shared" si="667"/>
        <v>нет</v>
      </c>
      <c r="AH411" s="5" t="str">
        <f>""</f>
        <v/>
      </c>
      <c r="AI411" s="5" t="str">
        <f>""</f>
        <v/>
      </c>
      <c r="AJ411" s="5" t="str">
        <f>""</f>
        <v/>
      </c>
      <c r="AK411" s="8" t="str">
        <f>""</f>
        <v/>
      </c>
      <c r="AL411" s="5" t="str">
        <f>"45,00"</f>
        <v>45,00</v>
      </c>
      <c r="AM411" s="5" t="str">
        <f>"2018"</f>
        <v>2018</v>
      </c>
      <c r="AN411" s="5" t="str">
        <f t="shared" si="668"/>
        <v>да</v>
      </c>
      <c r="AO411" s="5" t="str">
        <f>""</f>
        <v/>
      </c>
      <c r="AP411" s="5" t="str">
        <f>"21,00"</f>
        <v>21,00</v>
      </c>
      <c r="AQ411" s="5" t="str">
        <f>"2018"</f>
        <v>2018</v>
      </c>
      <c r="AR411" s="5" t="str">
        <f t="shared" si="669"/>
        <v>да</v>
      </c>
      <c r="AS411" s="5" t="str">
        <f>""</f>
        <v/>
      </c>
      <c r="AT411" s="5" t="str">
        <f>"22,00"</f>
        <v>22,00</v>
      </c>
      <c r="AU411" s="5" t="str">
        <f>"2018"</f>
        <v>2018</v>
      </c>
      <c r="AV411" s="5" t="str">
        <f>""</f>
        <v/>
      </c>
      <c r="AW411" s="5" t="str">
        <f>"48,00"</f>
        <v>48,00</v>
      </c>
      <c r="AX411" s="5" t="str">
        <f>"2019"</f>
        <v>2019</v>
      </c>
      <c r="AY411" s="5" t="str">
        <f t="shared" si="670"/>
        <v>да</v>
      </c>
      <c r="AZ411" s="5" t="str">
        <f>""</f>
        <v/>
      </c>
      <c r="BA411" s="5" t="str">
        <f>"25,00"</f>
        <v>25,00</v>
      </c>
      <c r="BB411" s="5" t="str">
        <f>"2019"</f>
        <v>2019</v>
      </c>
      <c r="BC411" s="5" t="str">
        <f t="shared" si="671"/>
        <v>да</v>
      </c>
      <c r="BD411" s="5" t="str">
        <f>""</f>
        <v/>
      </c>
      <c r="BE411" s="5" t="str">
        <f>"24,00"</f>
        <v>24,00</v>
      </c>
      <c r="BF411" s="5" t="str">
        <f>"2019"</f>
        <v>2019</v>
      </c>
      <c r="BG411" s="5" t="str">
        <f>""</f>
        <v/>
      </c>
      <c r="BH411" s="5" t="str">
        <f>"65,00"</f>
        <v>65,00</v>
      </c>
      <c r="BI411" s="5" t="str">
        <f>"2016"</f>
        <v>2016</v>
      </c>
      <c r="BJ411" s="5" t="str">
        <f t="shared" si="672"/>
        <v>нет</v>
      </c>
      <c r="BK411" s="5" t="str">
        <f>""</f>
        <v/>
      </c>
      <c r="BL411" s="5" t="str">
        <f>""</f>
        <v/>
      </c>
      <c r="BM411" s="5" t="str">
        <f>""</f>
        <v/>
      </c>
      <c r="BN411" s="5" t="str">
        <f t="shared" si="673"/>
        <v>нет</v>
      </c>
      <c r="BO411" s="5" t="str">
        <f>""</f>
        <v/>
      </c>
      <c r="BP411" s="5" t="str">
        <f>""</f>
        <v/>
      </c>
      <c r="BQ411" s="5" t="str">
        <f>""</f>
        <v/>
      </c>
      <c r="BR411" s="5" t="str">
        <f>""</f>
        <v/>
      </c>
      <c r="BS411" s="5" t="str">
        <f>"35,00"</f>
        <v>35,00</v>
      </c>
      <c r="BT411" s="5" t="str">
        <f>"2023"</f>
        <v>2023</v>
      </c>
      <c r="BU411" s="5" t="str">
        <f t="shared" si="633"/>
        <v>нет</v>
      </c>
      <c r="BV411" s="5" t="str">
        <f t="shared" si="656"/>
        <v>x</v>
      </c>
      <c r="BW411" s="5" t="str">
        <f t="shared" si="656"/>
        <v>x</v>
      </c>
      <c r="BX411" s="5" t="str">
        <f t="shared" si="656"/>
        <v>x</v>
      </c>
      <c r="BY411" s="5" t="str">
        <f t="shared" si="674"/>
        <v>нет</v>
      </c>
      <c r="BZ411" s="5" t="str">
        <f t="shared" si="655"/>
        <v>x</v>
      </c>
      <c r="CA411" s="5" t="str">
        <f t="shared" si="655"/>
        <v>x</v>
      </c>
      <c r="CB411" s="5" t="str">
        <f t="shared" si="655"/>
        <v>x</v>
      </c>
      <c r="CC411" s="5" t="str">
        <f>""</f>
        <v/>
      </c>
      <c r="CD411" s="5" t="str">
        <f>"25,00"</f>
        <v>25,00</v>
      </c>
      <c r="CE411" s="5" t="str">
        <f>"2032"</f>
        <v>2032</v>
      </c>
      <c r="CF411" s="5" t="str">
        <f>""</f>
        <v/>
      </c>
      <c r="CG411" s="5" t="str">
        <f>"22,00"</f>
        <v>22,00</v>
      </c>
      <c r="CH411" s="5" t="str">
        <f>"2032"</f>
        <v>2032</v>
      </c>
      <c r="CI411" s="5" t="str">
        <f>"30,00"</f>
        <v>30,00</v>
      </c>
      <c r="CJ411" s="5" t="str">
        <f>"2043"</f>
        <v>2043</v>
      </c>
    </row>
    <row r="412" spans="1:88" ht="11.25" customHeight="1">
      <c r="A412" s="3" t="str">
        <f>"1.399"</f>
        <v>1.399</v>
      </c>
      <c r="B412" s="4" t="str">
        <f>"д. Хорошево, ул. Центральная, д.8"</f>
        <v>д. Хорошево, ул. Центральная, д.8</v>
      </c>
      <c r="C412" s="7" t="str">
        <f>"1990"</f>
        <v>1990</v>
      </c>
      <c r="D412" s="5" t="str">
        <f>""</f>
        <v/>
      </c>
      <c r="E412" s="5" t="str">
        <f>"30,00"</f>
        <v>30,00</v>
      </c>
      <c r="F412" s="5" t="str">
        <f>"2030"</f>
        <v>2030</v>
      </c>
      <c r="G412" s="5" t="str">
        <f t="shared" si="662"/>
        <v>да</v>
      </c>
      <c r="H412" s="5" t="str">
        <f>""</f>
        <v/>
      </c>
      <c r="I412" s="5" t="str">
        <f>"15,00"</f>
        <v>15,00</v>
      </c>
      <c r="J412" s="5" t="str">
        <f>"2030"</f>
        <v>2030</v>
      </c>
      <c r="K412" s="5" t="str">
        <f t="shared" si="663"/>
        <v>да</v>
      </c>
      <c r="L412" s="5" t="str">
        <f>""</f>
        <v/>
      </c>
      <c r="M412" s="5" t="str">
        <f>"15,00"</f>
        <v>15,00</v>
      </c>
      <c r="N412" s="5" t="str">
        <f>"2030"</f>
        <v>2030</v>
      </c>
      <c r="O412" s="8" t="str">
        <f>""</f>
        <v/>
      </c>
      <c r="P412" s="5" t="str">
        <f>"15,00"</f>
        <v>15,00</v>
      </c>
      <c r="Q412" s="5" t="str">
        <f>"2036"</f>
        <v>2036</v>
      </c>
      <c r="R412" s="5" t="str">
        <f t="shared" si="664"/>
        <v>да</v>
      </c>
      <c r="S412" s="5" t="str">
        <f>""</f>
        <v/>
      </c>
      <c r="T412" s="5" t="str">
        <f>"10,00"</f>
        <v>10,00</v>
      </c>
      <c r="U412" s="5" t="str">
        <f>"2036"</f>
        <v>2036</v>
      </c>
      <c r="V412" s="5" t="str">
        <f t="shared" si="665"/>
        <v>да</v>
      </c>
      <c r="W412" s="5" t="str">
        <f>""</f>
        <v/>
      </c>
      <c r="X412" s="5" t="str">
        <f>"12,00"</f>
        <v>12,00</v>
      </c>
      <c r="Y412" s="9" t="str">
        <f>"2036"</f>
        <v>2036</v>
      </c>
      <c r="Z412" s="5" t="str">
        <f>""</f>
        <v/>
      </c>
      <c r="AA412" s="5" t="str">
        <f>"12,00"</f>
        <v>12,00</v>
      </c>
      <c r="AB412" s="5" t="str">
        <f>"2039"</f>
        <v>2039</v>
      </c>
      <c r="AC412" s="5" t="str">
        <f t="shared" si="666"/>
        <v>нет</v>
      </c>
      <c r="AD412" s="5" t="str">
        <f>""</f>
        <v/>
      </c>
      <c r="AE412" s="5" t="str">
        <f>""</f>
        <v/>
      </c>
      <c r="AF412" s="5" t="str">
        <f>""</f>
        <v/>
      </c>
      <c r="AG412" s="5" t="str">
        <f t="shared" si="667"/>
        <v>нет</v>
      </c>
      <c r="AH412" s="5" t="str">
        <f>""</f>
        <v/>
      </c>
      <c r="AI412" s="5" t="str">
        <f>""</f>
        <v/>
      </c>
      <c r="AJ412" s="5" t="str">
        <f>""</f>
        <v/>
      </c>
      <c r="AK412" s="8" t="str">
        <f>""</f>
        <v/>
      </c>
      <c r="AL412" s="5" t="str">
        <f>"70,00"</f>
        <v>70,00</v>
      </c>
      <c r="AM412" s="5" t="str">
        <f>"2019"</f>
        <v>2019</v>
      </c>
      <c r="AN412" s="5" t="str">
        <f t="shared" si="668"/>
        <v>да</v>
      </c>
      <c r="AO412" s="5" t="str">
        <f>""</f>
        <v/>
      </c>
      <c r="AP412" s="5" t="str">
        <f>"45,00"</f>
        <v>45,00</v>
      </c>
      <c r="AQ412" s="5" t="str">
        <f>"2019"</f>
        <v>2019</v>
      </c>
      <c r="AR412" s="5" t="str">
        <f t="shared" si="669"/>
        <v>да</v>
      </c>
      <c r="AS412" s="5" t="str">
        <f>""</f>
        <v/>
      </c>
      <c r="AT412" s="5" t="str">
        <f>"48,00"</f>
        <v>48,00</v>
      </c>
      <c r="AU412" s="5" t="str">
        <f>"2019"</f>
        <v>2019</v>
      </c>
      <c r="AV412" s="5" t="str">
        <f>""</f>
        <v/>
      </c>
      <c r="AW412" s="5" t="str">
        <f>"52,00"</f>
        <v>52,00</v>
      </c>
      <c r="AX412" s="5" t="str">
        <f>"2019"</f>
        <v>2019</v>
      </c>
      <c r="AY412" s="5" t="str">
        <f t="shared" si="670"/>
        <v>да</v>
      </c>
      <c r="AZ412" s="5" t="str">
        <f>""</f>
        <v/>
      </c>
      <c r="BA412" s="5" t="str">
        <f>"34,00"</f>
        <v>34,00</v>
      </c>
      <c r="BB412" s="5" t="str">
        <f>"2019"</f>
        <v>2019</v>
      </c>
      <c r="BC412" s="5" t="str">
        <f t="shared" si="671"/>
        <v>да</v>
      </c>
      <c r="BD412" s="5" t="str">
        <f>""</f>
        <v/>
      </c>
      <c r="BE412" s="5" t="str">
        <f>"32,00"</f>
        <v>32,00</v>
      </c>
      <c r="BF412" s="5" t="str">
        <f>"2019"</f>
        <v>2019</v>
      </c>
      <c r="BG412" s="5" t="str">
        <f>""</f>
        <v/>
      </c>
      <c r="BH412" s="5" t="str">
        <f>"40,00"</f>
        <v>40,00</v>
      </c>
      <c r="BI412" s="5" t="str">
        <f>"2024"</f>
        <v>2024</v>
      </c>
      <c r="BJ412" s="5" t="str">
        <f t="shared" si="672"/>
        <v>нет</v>
      </c>
      <c r="BK412" s="5" t="str">
        <f>""</f>
        <v/>
      </c>
      <c r="BL412" s="5" t="str">
        <f>""</f>
        <v/>
      </c>
      <c r="BM412" s="5" t="str">
        <f>""</f>
        <v/>
      </c>
      <c r="BN412" s="5" t="str">
        <f t="shared" si="673"/>
        <v>нет</v>
      </c>
      <c r="BO412" s="5" t="str">
        <f>""</f>
        <v/>
      </c>
      <c r="BP412" s="5" t="str">
        <f>""</f>
        <v/>
      </c>
      <c r="BQ412" s="5" t="str">
        <f>""</f>
        <v/>
      </c>
      <c r="BR412" s="5" t="str">
        <f>""</f>
        <v/>
      </c>
      <c r="BS412" s="5" t="str">
        <f>"15,00"</f>
        <v>15,00</v>
      </c>
      <c r="BT412" s="5" t="str">
        <f>"2026"</f>
        <v>2026</v>
      </c>
      <c r="BU412" s="5" t="str">
        <f t="shared" si="633"/>
        <v>нет</v>
      </c>
      <c r="BV412" s="5" t="str">
        <f t="shared" si="656"/>
        <v>x</v>
      </c>
      <c r="BW412" s="5" t="str">
        <f t="shared" si="656"/>
        <v>x</v>
      </c>
      <c r="BX412" s="5" t="str">
        <f t="shared" si="656"/>
        <v>x</v>
      </c>
      <c r="BY412" s="5" t="str">
        <f t="shared" si="674"/>
        <v>нет</v>
      </c>
      <c r="BZ412" s="5" t="str">
        <f t="shared" si="655"/>
        <v>x</v>
      </c>
      <c r="CA412" s="5" t="str">
        <f t="shared" si="655"/>
        <v>x</v>
      </c>
      <c r="CB412" s="5" t="str">
        <f t="shared" si="655"/>
        <v>x</v>
      </c>
      <c r="CC412" s="5" t="str">
        <f>""</f>
        <v/>
      </c>
      <c r="CD412" s="5" t="str">
        <f>"15,00"</f>
        <v>15,00</v>
      </c>
      <c r="CE412" s="5" t="str">
        <f>"2032"</f>
        <v>2032</v>
      </c>
      <c r="CF412" s="5" t="str">
        <f>""</f>
        <v/>
      </c>
      <c r="CG412" s="5" t="str">
        <f>"15,00"</f>
        <v>15,00</v>
      </c>
      <c r="CH412" s="5" t="str">
        <f>"2031"</f>
        <v>2031</v>
      </c>
      <c r="CI412" s="5" t="str">
        <f>"27,00"</f>
        <v>27,00</v>
      </c>
      <c r="CJ412" s="5" t="str">
        <f>"2043"</f>
        <v>2043</v>
      </c>
    </row>
    <row r="413" spans="1:88" ht="11.25" customHeight="1">
      <c r="A413" s="3" t="str">
        <f>"1.400"</f>
        <v>1.400</v>
      </c>
      <c r="B413" s="4" t="str">
        <f>"д. Хорошево, ул. Центральная, д.9"</f>
        <v>д. Хорошево, ул. Центральная, д.9</v>
      </c>
      <c r="C413" s="7" t="str">
        <f>"1986"</f>
        <v>1986</v>
      </c>
      <c r="D413" s="5" t="str">
        <f>""</f>
        <v/>
      </c>
      <c r="E413" s="5" t="str">
        <f>"34,00"</f>
        <v>34,00</v>
      </c>
      <c r="F413" s="5" t="str">
        <f>"2026"</f>
        <v>2026</v>
      </c>
      <c r="G413" s="5" t="str">
        <f t="shared" si="662"/>
        <v>да</v>
      </c>
      <c r="H413" s="5" t="str">
        <f>""</f>
        <v/>
      </c>
      <c r="I413" s="5" t="str">
        <f>"15,00"</f>
        <v>15,00</v>
      </c>
      <c r="J413" s="5" t="str">
        <f>"2026"</f>
        <v>2026</v>
      </c>
      <c r="K413" s="5" t="str">
        <f t="shared" si="663"/>
        <v>да</v>
      </c>
      <c r="L413" s="5" t="str">
        <f>""</f>
        <v/>
      </c>
      <c r="M413" s="5" t="str">
        <f>"15,00"</f>
        <v>15,00</v>
      </c>
      <c r="N413" s="5" t="str">
        <f>"2026"</f>
        <v>2026</v>
      </c>
      <c r="O413" s="8" t="str">
        <f>""</f>
        <v/>
      </c>
      <c r="P413" s="5" t="str">
        <f>"52,00"</f>
        <v>52,00</v>
      </c>
      <c r="Q413" s="5" t="str">
        <f>"2017"</f>
        <v>2017</v>
      </c>
      <c r="R413" s="5" t="str">
        <f t="shared" si="664"/>
        <v>да</v>
      </c>
      <c r="S413" s="5" t="str">
        <f>""</f>
        <v/>
      </c>
      <c r="T413" s="5" t="str">
        <f>"32,00"</f>
        <v>32,00</v>
      </c>
      <c r="U413" s="5" t="str">
        <f>"2017"</f>
        <v>2017</v>
      </c>
      <c r="V413" s="5" t="str">
        <f t="shared" si="665"/>
        <v>да</v>
      </c>
      <c r="W413" s="5" t="str">
        <f>""</f>
        <v/>
      </c>
      <c r="X413" s="5" t="str">
        <f>"30,00"</f>
        <v>30,00</v>
      </c>
      <c r="Y413" s="9" t="str">
        <f>"2017"</f>
        <v>2017</v>
      </c>
      <c r="Z413" s="5" t="str">
        <f>""</f>
        <v/>
      </c>
      <c r="AA413" s="5" t="str">
        <f>"20,00"</f>
        <v>20,00</v>
      </c>
      <c r="AB413" s="5" t="str">
        <f>"2034"</f>
        <v>2034</v>
      </c>
      <c r="AC413" s="5" t="str">
        <f t="shared" si="666"/>
        <v>нет</v>
      </c>
      <c r="AD413" s="5" t="str">
        <f>""</f>
        <v/>
      </c>
      <c r="AE413" s="5" t="str">
        <f>""</f>
        <v/>
      </c>
      <c r="AF413" s="5" t="str">
        <f>""</f>
        <v/>
      </c>
      <c r="AG413" s="5" t="str">
        <f t="shared" si="667"/>
        <v>нет</v>
      </c>
      <c r="AH413" s="5" t="str">
        <f>""</f>
        <v/>
      </c>
      <c r="AI413" s="5" t="str">
        <f>""</f>
        <v/>
      </c>
      <c r="AJ413" s="5" t="str">
        <f>""</f>
        <v/>
      </c>
      <c r="AK413" s="8" t="str">
        <f>""</f>
        <v/>
      </c>
      <c r="AL413" s="5" t="str">
        <f>"35,00"</f>
        <v>35,00</v>
      </c>
      <c r="AM413" s="5" t="str">
        <f>"2027"</f>
        <v>2027</v>
      </c>
      <c r="AN413" s="5" t="str">
        <f t="shared" si="668"/>
        <v>да</v>
      </c>
      <c r="AO413" s="5" t="str">
        <f>""</f>
        <v/>
      </c>
      <c r="AP413" s="5" t="str">
        <f>"30,00"</f>
        <v>30,00</v>
      </c>
      <c r="AQ413" s="5" t="str">
        <f>"2027"</f>
        <v>2027</v>
      </c>
      <c r="AR413" s="5" t="str">
        <f t="shared" si="669"/>
        <v>да</v>
      </c>
      <c r="AS413" s="5" t="str">
        <f>""</f>
        <v/>
      </c>
      <c r="AT413" s="5" t="str">
        <f>"22,00"</f>
        <v>22,00</v>
      </c>
      <c r="AU413" s="5" t="str">
        <f>"2027"</f>
        <v>2027</v>
      </c>
      <c r="AV413" s="5" t="str">
        <f>""</f>
        <v/>
      </c>
      <c r="AW413" s="5" t="str">
        <f>"27,00"</f>
        <v>27,00</v>
      </c>
      <c r="AX413" s="5" t="str">
        <f>"2027"</f>
        <v>2027</v>
      </c>
      <c r="AY413" s="5" t="str">
        <f t="shared" si="670"/>
        <v>да</v>
      </c>
      <c r="AZ413" s="5" t="str">
        <f>""</f>
        <v/>
      </c>
      <c r="BA413" s="5" t="str">
        <f>"20,00"</f>
        <v>20,00</v>
      </c>
      <c r="BB413" s="5" t="str">
        <f>"2027"</f>
        <v>2027</v>
      </c>
      <c r="BC413" s="5" t="str">
        <f t="shared" si="671"/>
        <v>да</v>
      </c>
      <c r="BD413" s="5" t="str">
        <f>""</f>
        <v/>
      </c>
      <c r="BE413" s="5" t="str">
        <f>"20,00"</f>
        <v>20,00</v>
      </c>
      <c r="BF413" s="5" t="str">
        <f>"2027"</f>
        <v>2027</v>
      </c>
      <c r="BG413" s="5" t="str">
        <f>""</f>
        <v/>
      </c>
      <c r="BH413" s="5" t="str">
        <f>"48,00"</f>
        <v>48,00</v>
      </c>
      <c r="BI413" s="5" t="str">
        <f>"2025"</f>
        <v>2025</v>
      </c>
      <c r="BJ413" s="5" t="str">
        <f t="shared" si="672"/>
        <v>нет</v>
      </c>
      <c r="BK413" s="5" t="str">
        <f>""</f>
        <v/>
      </c>
      <c r="BL413" s="5" t="str">
        <f>""</f>
        <v/>
      </c>
      <c r="BM413" s="5" t="str">
        <f>""</f>
        <v/>
      </c>
      <c r="BN413" s="5" t="str">
        <f t="shared" si="673"/>
        <v>нет</v>
      </c>
      <c r="BO413" s="5" t="str">
        <f>""</f>
        <v/>
      </c>
      <c r="BP413" s="5" t="str">
        <f>""</f>
        <v/>
      </c>
      <c r="BQ413" s="5" t="str">
        <f>""</f>
        <v/>
      </c>
      <c r="BR413" s="5" t="str">
        <f>""</f>
        <v/>
      </c>
      <c r="BS413" s="5" t="str">
        <f>"42,00"</f>
        <v>42,00</v>
      </c>
      <c r="BT413" s="5" t="str">
        <f>"2015"</f>
        <v>2015</v>
      </c>
      <c r="BU413" s="5" t="str">
        <f t="shared" si="633"/>
        <v>нет</v>
      </c>
      <c r="BV413" s="5" t="str">
        <f t="shared" si="656"/>
        <v>x</v>
      </c>
      <c r="BW413" s="5" t="str">
        <f t="shared" si="656"/>
        <v>x</v>
      </c>
      <c r="BX413" s="5" t="str">
        <f t="shared" si="656"/>
        <v>x</v>
      </c>
      <c r="BY413" s="5" t="str">
        <f t="shared" si="674"/>
        <v>нет</v>
      </c>
      <c r="BZ413" s="5" t="str">
        <f t="shared" si="655"/>
        <v>x</v>
      </c>
      <c r="CA413" s="5" t="str">
        <f t="shared" si="655"/>
        <v>x</v>
      </c>
      <c r="CB413" s="5" t="str">
        <f t="shared" si="655"/>
        <v>x</v>
      </c>
      <c r="CC413" s="5" t="str">
        <f>""</f>
        <v/>
      </c>
      <c r="CD413" s="5" t="str">
        <f>"35,00"</f>
        <v>35,00</v>
      </c>
      <c r="CE413" s="5" t="str">
        <f>"2026"</f>
        <v>2026</v>
      </c>
      <c r="CF413" s="5" t="str">
        <f>""</f>
        <v/>
      </c>
      <c r="CG413" s="5" t="str">
        <f>"32,00"</f>
        <v>32,00</v>
      </c>
      <c r="CH413" s="5" t="str">
        <f>"2024"</f>
        <v>2024</v>
      </c>
      <c r="CI413" s="5" t="str">
        <f>"20,00"</f>
        <v>20,00</v>
      </c>
      <c r="CJ413" s="5" t="str">
        <f>"2041"</f>
        <v>2041</v>
      </c>
    </row>
    <row r="414" spans="1:88" ht="11.25" customHeight="1">
      <c r="A414" s="3" t="str">
        <f>"1.401"</f>
        <v>1.401</v>
      </c>
      <c r="B414" s="4" t="str">
        <f>"д. Юрово, ул. Центральная, д.11"</f>
        <v>д. Юрово, ул. Центральная, д.11</v>
      </c>
      <c r="C414" s="7" t="str">
        <f>"2000"</f>
        <v>2000</v>
      </c>
      <c r="D414" s="5" t="str">
        <f>""</f>
        <v/>
      </c>
      <c r="E414" s="5" t="str">
        <f>"30,00"</f>
        <v>30,00</v>
      </c>
      <c r="F414" s="5" t="str">
        <f>"2027"</f>
        <v>2027</v>
      </c>
      <c r="G414" s="5" t="str">
        <f t="shared" si="662"/>
        <v>да</v>
      </c>
      <c r="H414" s="5" t="str">
        <f>""</f>
        <v/>
      </c>
      <c r="I414" s="5" t="str">
        <f>"25,00"</f>
        <v>25,00</v>
      </c>
      <c r="J414" s="5" t="str">
        <f>"2027"</f>
        <v>2027</v>
      </c>
      <c r="K414" s="5" t="str">
        <f t="shared" si="663"/>
        <v>да</v>
      </c>
      <c r="L414" s="5" t="str">
        <f>""</f>
        <v/>
      </c>
      <c r="M414" s="5" t="str">
        <f>"24,00"</f>
        <v>24,00</v>
      </c>
      <c r="N414" s="5" t="str">
        <f>"2027"</f>
        <v>2027</v>
      </c>
      <c r="O414" s="8" t="str">
        <f>""</f>
        <v/>
      </c>
      <c r="P414" s="5" t="str">
        <f>"25,00"</f>
        <v>25,00</v>
      </c>
      <c r="Q414" s="5" t="str">
        <f>"2029"</f>
        <v>2029</v>
      </c>
      <c r="R414" s="5" t="str">
        <f>"нет"</f>
        <v>нет</v>
      </c>
      <c r="S414" s="5" t="str">
        <f>""</f>
        <v/>
      </c>
      <c r="T414" s="5" t="str">
        <f>""</f>
        <v/>
      </c>
      <c r="U414" s="5" t="str">
        <f>""</f>
        <v/>
      </c>
      <c r="V414" s="5" t="str">
        <f>"нет"</f>
        <v>нет</v>
      </c>
      <c r="W414" s="5" t="str">
        <f>""</f>
        <v/>
      </c>
      <c r="X414" s="5" t="str">
        <f>""</f>
        <v/>
      </c>
      <c r="Y414" s="9" t="str">
        <f>""</f>
        <v/>
      </c>
      <c r="Z414" s="5" t="str">
        <f>""</f>
        <v/>
      </c>
      <c r="AA414" s="5" t="str">
        <f>"15,00"</f>
        <v>15,00</v>
      </c>
      <c r="AB414" s="5" t="str">
        <f>"2031"</f>
        <v>2031</v>
      </c>
      <c r="AC414" s="5" t="str">
        <f t="shared" si="666"/>
        <v>нет</v>
      </c>
      <c r="AD414" s="5" t="str">
        <f>""</f>
        <v/>
      </c>
      <c r="AE414" s="5" t="str">
        <f>""</f>
        <v/>
      </c>
      <c r="AF414" s="5" t="str">
        <f>""</f>
        <v/>
      </c>
      <c r="AG414" s="5" t="str">
        <f t="shared" si="667"/>
        <v>нет</v>
      </c>
      <c r="AH414" s="5" t="str">
        <f>""</f>
        <v/>
      </c>
      <c r="AI414" s="5" t="str">
        <f>""</f>
        <v/>
      </c>
      <c r="AJ414" s="5" t="str">
        <f>""</f>
        <v/>
      </c>
      <c r="AK414" s="8" t="str">
        <f>""</f>
        <v/>
      </c>
      <c r="AL414" s="5" t="str">
        <f>"30,00"</f>
        <v>30,00</v>
      </c>
      <c r="AM414" s="5" t="str">
        <f>"2029"</f>
        <v>2029</v>
      </c>
      <c r="AN414" s="5" t="str">
        <f t="shared" si="668"/>
        <v>да</v>
      </c>
      <c r="AO414" s="5" t="str">
        <f>""</f>
        <v/>
      </c>
      <c r="AP414" s="5" t="str">
        <f>"20,00"</f>
        <v>20,00</v>
      </c>
      <c r="AQ414" s="5" t="str">
        <f>"2029"</f>
        <v>2029</v>
      </c>
      <c r="AR414" s="5" t="str">
        <f t="shared" si="669"/>
        <v>да</v>
      </c>
      <c r="AS414" s="5" t="str">
        <f>""</f>
        <v/>
      </c>
      <c r="AT414" s="5" t="str">
        <f>"15,00"</f>
        <v>15,00</v>
      </c>
      <c r="AU414" s="5" t="str">
        <f>"2029"</f>
        <v>2029</v>
      </c>
      <c r="AV414" s="5" t="str">
        <f t="shared" ref="AV414:BF414" si="675">"х"</f>
        <v>х</v>
      </c>
      <c r="AW414" s="5" t="str">
        <f t="shared" si="675"/>
        <v>х</v>
      </c>
      <c r="AX414" s="5" t="str">
        <f t="shared" si="675"/>
        <v>х</v>
      </c>
      <c r="AY414" s="5" t="str">
        <f t="shared" si="675"/>
        <v>х</v>
      </c>
      <c r="AZ414" s="5" t="str">
        <f t="shared" si="675"/>
        <v>х</v>
      </c>
      <c r="BA414" s="5" t="str">
        <f t="shared" si="675"/>
        <v>х</v>
      </c>
      <c r="BB414" s="5" t="str">
        <f t="shared" si="675"/>
        <v>х</v>
      </c>
      <c r="BC414" s="5" t="str">
        <f t="shared" si="675"/>
        <v>х</v>
      </c>
      <c r="BD414" s="5" t="str">
        <f t="shared" si="675"/>
        <v>х</v>
      </c>
      <c r="BE414" s="5" t="str">
        <f t="shared" si="675"/>
        <v>х</v>
      </c>
      <c r="BF414" s="5" t="str">
        <f t="shared" si="675"/>
        <v>х</v>
      </c>
      <c r="BG414" s="5" t="str">
        <f>""</f>
        <v/>
      </c>
      <c r="BH414" s="5" t="str">
        <f>"25,00"</f>
        <v>25,00</v>
      </c>
      <c r="BI414" s="5" t="str">
        <f>"2030"</f>
        <v>2030</v>
      </c>
      <c r="BJ414" s="5" t="str">
        <f t="shared" si="672"/>
        <v>нет</v>
      </c>
      <c r="BK414" s="5" t="str">
        <f>""</f>
        <v/>
      </c>
      <c r="BL414" s="5" t="str">
        <f>""</f>
        <v/>
      </c>
      <c r="BM414" s="5" t="str">
        <f>""</f>
        <v/>
      </c>
      <c r="BN414" s="5" t="str">
        <f t="shared" si="673"/>
        <v>нет</v>
      </c>
      <c r="BO414" s="5" t="str">
        <f>""</f>
        <v/>
      </c>
      <c r="BP414" s="5" t="str">
        <f>""</f>
        <v/>
      </c>
      <c r="BQ414" s="5" t="str">
        <f>""</f>
        <v/>
      </c>
      <c r="BR414" s="5" t="str">
        <f>""</f>
        <v/>
      </c>
      <c r="BS414" s="5" t="str">
        <f>"30,00"</f>
        <v>30,00</v>
      </c>
      <c r="BT414" s="5" t="str">
        <f>"2020"</f>
        <v>2020</v>
      </c>
      <c r="BU414" s="5" t="str">
        <f t="shared" si="633"/>
        <v>нет</v>
      </c>
      <c r="BV414" s="5" t="str">
        <f t="shared" si="656"/>
        <v>x</v>
      </c>
      <c r="BW414" s="5" t="str">
        <f t="shared" si="656"/>
        <v>x</v>
      </c>
      <c r="BX414" s="5" t="str">
        <f t="shared" si="656"/>
        <v>x</v>
      </c>
      <c r="BY414" s="5" t="str">
        <f t="shared" si="674"/>
        <v>нет</v>
      </c>
      <c r="BZ414" s="5" t="str">
        <f t="shared" si="655"/>
        <v>x</v>
      </c>
      <c r="CA414" s="5" t="str">
        <f t="shared" si="655"/>
        <v>x</v>
      </c>
      <c r="CB414" s="5" t="str">
        <f t="shared" si="655"/>
        <v>x</v>
      </c>
      <c r="CC414" s="5" t="str">
        <f>""</f>
        <v/>
      </c>
      <c r="CD414" s="5" t="str">
        <f>"18,00"</f>
        <v>18,00</v>
      </c>
      <c r="CE414" s="5" t="str">
        <f>"2034"</f>
        <v>2034</v>
      </c>
      <c r="CF414" s="5" t="str">
        <f>""</f>
        <v/>
      </c>
      <c r="CG414" s="5" t="str">
        <f>"15,00"</f>
        <v>15,00</v>
      </c>
      <c r="CH414" s="5" t="str">
        <f>"2035"</f>
        <v>2035</v>
      </c>
      <c r="CI414" s="5" t="str">
        <f>"24,00"</f>
        <v>24,00</v>
      </c>
      <c r="CJ414" s="5" t="str">
        <f>"2044"</f>
        <v>2044</v>
      </c>
    </row>
    <row r="415" spans="1:88" ht="11.25" customHeight="1">
      <c r="A415" s="3" t="str">
        <f>"1.402"</f>
        <v>1.402</v>
      </c>
      <c r="B415" s="4" t="str">
        <f>"д. Юрово, ул. Центральная, д.5А"</f>
        <v>д. Юрово, ул. Центральная, д.5А</v>
      </c>
      <c r="C415" s="7" t="str">
        <f>"1980"</f>
        <v>1980</v>
      </c>
      <c r="D415" s="5" t="str">
        <f>""</f>
        <v/>
      </c>
      <c r="E415" s="5" t="str">
        <f>"25,00"</f>
        <v>25,00</v>
      </c>
      <c r="F415" s="5" t="str">
        <f>"2031"</f>
        <v>2031</v>
      </c>
      <c r="G415" s="5" t="str">
        <f t="shared" si="662"/>
        <v>да</v>
      </c>
      <c r="H415" s="5" t="str">
        <f>""</f>
        <v/>
      </c>
      <c r="I415" s="5" t="str">
        <f>"20,00"</f>
        <v>20,00</v>
      </c>
      <c r="J415" s="5" t="str">
        <f>"2031"</f>
        <v>2031</v>
      </c>
      <c r="K415" s="5" t="str">
        <f t="shared" si="663"/>
        <v>да</v>
      </c>
      <c r="L415" s="5" t="str">
        <f>""</f>
        <v/>
      </c>
      <c r="M415" s="5" t="str">
        <f>"20,00"</f>
        <v>20,00</v>
      </c>
      <c r="N415" s="5" t="str">
        <f>"2031"</f>
        <v>2031</v>
      </c>
      <c r="O415" s="8" t="str">
        <f>""</f>
        <v/>
      </c>
      <c r="P415" s="5" t="str">
        <f>"25,00"</f>
        <v>25,00</v>
      </c>
      <c r="Q415" s="5" t="str">
        <f>"2034"</f>
        <v>2034</v>
      </c>
      <c r="R415" s="5" t="str">
        <f>"да"</f>
        <v>да</v>
      </c>
      <c r="S415" s="5" t="str">
        <f>""</f>
        <v/>
      </c>
      <c r="T415" s="5" t="str">
        <f>"20,00"</f>
        <v>20,00</v>
      </c>
      <c r="U415" s="5" t="str">
        <f>"2034"</f>
        <v>2034</v>
      </c>
      <c r="V415" s="5" t="str">
        <f>"да"</f>
        <v>да</v>
      </c>
      <c r="W415" s="5" t="str">
        <f>""</f>
        <v/>
      </c>
      <c r="X415" s="5" t="str">
        <f>"20,00"</f>
        <v>20,00</v>
      </c>
      <c r="Y415" s="9" t="str">
        <f>"2034"</f>
        <v>2034</v>
      </c>
      <c r="Z415" s="5" t="str">
        <f>""</f>
        <v/>
      </c>
      <c r="AA415" s="5" t="str">
        <f>"20,00"</f>
        <v>20,00</v>
      </c>
      <c r="AB415" s="5" t="str">
        <f>"2037"</f>
        <v>2037</v>
      </c>
      <c r="AC415" s="5" t="str">
        <f t="shared" si="666"/>
        <v>нет</v>
      </c>
      <c r="AD415" s="5" t="str">
        <f>""</f>
        <v/>
      </c>
      <c r="AE415" s="5" t="str">
        <f>""</f>
        <v/>
      </c>
      <c r="AF415" s="5" t="str">
        <f>""</f>
        <v/>
      </c>
      <c r="AG415" s="5" t="str">
        <f t="shared" si="667"/>
        <v>нет</v>
      </c>
      <c r="AH415" s="5" t="str">
        <f>""</f>
        <v/>
      </c>
      <c r="AI415" s="5" t="str">
        <f>""</f>
        <v/>
      </c>
      <c r="AJ415" s="5" t="str">
        <f>""</f>
        <v/>
      </c>
      <c r="AK415" s="8" t="str">
        <f>""</f>
        <v/>
      </c>
      <c r="AL415" s="5" t="str">
        <f>"27,00"</f>
        <v>27,00</v>
      </c>
      <c r="AM415" s="5" t="str">
        <f>"2032"</f>
        <v>2032</v>
      </c>
      <c r="AN415" s="5" t="str">
        <f t="shared" si="668"/>
        <v>да</v>
      </c>
      <c r="AO415" s="5" t="str">
        <f>""</f>
        <v/>
      </c>
      <c r="AP415" s="5" t="str">
        <f>"23,00"</f>
        <v>23,00</v>
      </c>
      <c r="AQ415" s="5" t="str">
        <f>"2032"</f>
        <v>2032</v>
      </c>
      <c r="AR415" s="5" t="str">
        <f t="shared" si="669"/>
        <v>да</v>
      </c>
      <c r="AS415" s="5" t="str">
        <f>""</f>
        <v/>
      </c>
      <c r="AT415" s="5" t="str">
        <f>"23,00"</f>
        <v>23,00</v>
      </c>
      <c r="AU415" s="5" t="str">
        <f>"2032"</f>
        <v>2032</v>
      </c>
      <c r="AV415" s="5" t="str">
        <f>""</f>
        <v/>
      </c>
      <c r="AW415" s="5" t="str">
        <f>"27,00"</f>
        <v>27,00</v>
      </c>
      <c r="AX415" s="5" t="str">
        <f>"2032"</f>
        <v>2032</v>
      </c>
      <c r="AY415" s="5" t="str">
        <f>"да"</f>
        <v>да</v>
      </c>
      <c r="AZ415" s="5" t="str">
        <f>""</f>
        <v/>
      </c>
      <c r="BA415" s="5" t="str">
        <f>"23,00"</f>
        <v>23,00</v>
      </c>
      <c r="BB415" s="5" t="str">
        <f>"2032"</f>
        <v>2032</v>
      </c>
      <c r="BC415" s="5" t="str">
        <f>"да"</f>
        <v>да</v>
      </c>
      <c r="BD415" s="5" t="str">
        <f>""</f>
        <v/>
      </c>
      <c r="BE415" s="5" t="str">
        <f>"23,00"</f>
        <v>23,00</v>
      </c>
      <c r="BF415" s="5" t="str">
        <f>"2032"</f>
        <v>2032</v>
      </c>
      <c r="BG415" s="5" t="str">
        <f>""</f>
        <v/>
      </c>
      <c r="BH415" s="5" t="str">
        <f>"30,00"</f>
        <v>30,00</v>
      </c>
      <c r="BI415" s="5" t="str">
        <f>"2029"</f>
        <v>2029</v>
      </c>
      <c r="BJ415" s="5" t="str">
        <f t="shared" si="672"/>
        <v>нет</v>
      </c>
      <c r="BK415" s="5" t="str">
        <f>""</f>
        <v/>
      </c>
      <c r="BL415" s="5" t="str">
        <f>""</f>
        <v/>
      </c>
      <c r="BM415" s="5" t="str">
        <f>""</f>
        <v/>
      </c>
      <c r="BN415" s="5" t="str">
        <f t="shared" si="673"/>
        <v>нет</v>
      </c>
      <c r="BO415" s="5" t="str">
        <f>""</f>
        <v/>
      </c>
      <c r="BP415" s="5" t="str">
        <f>""</f>
        <v/>
      </c>
      <c r="BQ415" s="5" t="str">
        <f>""</f>
        <v/>
      </c>
      <c r="BR415" s="5" t="str">
        <f>""</f>
        <v/>
      </c>
      <c r="BS415" s="5" t="str">
        <f>"35,00"</f>
        <v>35,00</v>
      </c>
      <c r="BT415" s="5" t="str">
        <f>"2025"</f>
        <v>2025</v>
      </c>
      <c r="BU415" s="5" t="str">
        <f t="shared" si="633"/>
        <v>нет</v>
      </c>
      <c r="BV415" s="5" t="str">
        <f t="shared" si="656"/>
        <v>x</v>
      </c>
      <c r="BW415" s="5" t="str">
        <f t="shared" si="656"/>
        <v>x</v>
      </c>
      <c r="BX415" s="5" t="str">
        <f t="shared" si="656"/>
        <v>x</v>
      </c>
      <c r="BY415" s="5" t="str">
        <f t="shared" si="674"/>
        <v>нет</v>
      </c>
      <c r="BZ415" s="5" t="str">
        <f t="shared" si="655"/>
        <v>x</v>
      </c>
      <c r="CA415" s="5" t="str">
        <f t="shared" si="655"/>
        <v>x</v>
      </c>
      <c r="CB415" s="5" t="str">
        <f t="shared" si="655"/>
        <v>x</v>
      </c>
      <c r="CC415" s="5" t="str">
        <f>""</f>
        <v/>
      </c>
      <c r="CD415" s="5" t="str">
        <f>"18,00"</f>
        <v>18,00</v>
      </c>
      <c r="CE415" s="5" t="str">
        <f>"2033"</f>
        <v>2033</v>
      </c>
      <c r="CF415" s="5" t="str">
        <f>""</f>
        <v/>
      </c>
      <c r="CG415" s="5" t="str">
        <f>"15,00"</f>
        <v>15,00</v>
      </c>
      <c r="CH415" s="5" t="str">
        <f>"2037"</f>
        <v>2037</v>
      </c>
      <c r="CI415" s="5" t="str">
        <f>"32,00"</f>
        <v>32,00</v>
      </c>
      <c r="CJ415" s="5" t="str">
        <f>"2040"</f>
        <v>2040</v>
      </c>
    </row>
    <row r="416" spans="1:88" ht="11.25" customHeight="1">
      <c r="A416" s="3" t="str">
        <f>"1.403"</f>
        <v>1.403</v>
      </c>
      <c r="B416" s="4" t="str">
        <f>"д. Юрово, ул. Центральная, д.6"</f>
        <v>д. Юрово, ул. Центральная, д.6</v>
      </c>
      <c r="C416" s="7" t="str">
        <f>"1976"</f>
        <v>1976</v>
      </c>
      <c r="D416" s="5" t="str">
        <f>""</f>
        <v/>
      </c>
      <c r="E416" s="5" t="str">
        <f>"23,40"</f>
        <v>23,40</v>
      </c>
      <c r="F416" s="5" t="str">
        <f>"2030"</f>
        <v>2030</v>
      </c>
      <c r="G416" s="5" t="str">
        <f t="shared" si="662"/>
        <v>да</v>
      </c>
      <c r="H416" s="5" t="str">
        <f>""</f>
        <v/>
      </c>
      <c r="I416" s="5" t="str">
        <f>"15,00"</f>
        <v>15,00</v>
      </c>
      <c r="J416" s="5" t="str">
        <f>"2030"</f>
        <v>2030</v>
      </c>
      <c r="K416" s="5" t="str">
        <f t="shared" si="663"/>
        <v>да</v>
      </c>
      <c r="L416" s="5" t="str">
        <f>""</f>
        <v/>
      </c>
      <c r="M416" s="5" t="str">
        <f>"16,00"</f>
        <v>16,00</v>
      </c>
      <c r="N416" s="5" t="str">
        <f>"2030"</f>
        <v>2030</v>
      </c>
      <c r="O416" s="8" t="str">
        <f>""</f>
        <v/>
      </c>
      <c r="P416" s="5" t="str">
        <f>"25,00"</f>
        <v>25,00</v>
      </c>
      <c r="Q416" s="5" t="str">
        <f>"2029"</f>
        <v>2029</v>
      </c>
      <c r="R416" s="5" t="str">
        <f t="shared" ref="R416:R427" si="676">"нет"</f>
        <v>нет</v>
      </c>
      <c r="S416" s="5" t="str">
        <f>""</f>
        <v/>
      </c>
      <c r="T416" s="5" t="str">
        <f>""</f>
        <v/>
      </c>
      <c r="U416" s="5" t="str">
        <f>""</f>
        <v/>
      </c>
      <c r="V416" s="5" t="str">
        <f t="shared" ref="V416:V427" si="677">"нет"</f>
        <v>нет</v>
      </c>
      <c r="W416" s="5" t="str">
        <f>""</f>
        <v/>
      </c>
      <c r="X416" s="5" t="str">
        <f>""</f>
        <v/>
      </c>
      <c r="Y416" s="9" t="str">
        <f>""</f>
        <v/>
      </c>
      <c r="Z416" s="5" t="str">
        <f>""</f>
        <v/>
      </c>
      <c r="AA416" s="5" t="str">
        <f>"25,00"</f>
        <v>25,00</v>
      </c>
      <c r="AB416" s="5" t="str">
        <f>"2033"</f>
        <v>2033</v>
      </c>
      <c r="AC416" s="5" t="str">
        <f t="shared" si="666"/>
        <v>нет</v>
      </c>
      <c r="AD416" s="5" t="str">
        <f>""</f>
        <v/>
      </c>
      <c r="AE416" s="5" t="str">
        <f>""</f>
        <v/>
      </c>
      <c r="AF416" s="5" t="str">
        <f>""</f>
        <v/>
      </c>
      <c r="AG416" s="5" t="str">
        <f t="shared" si="667"/>
        <v>нет</v>
      </c>
      <c r="AH416" s="5" t="str">
        <f>""</f>
        <v/>
      </c>
      <c r="AI416" s="5" t="str">
        <f>""</f>
        <v/>
      </c>
      <c r="AJ416" s="5" t="str">
        <f>""</f>
        <v/>
      </c>
      <c r="AK416" s="8" t="str">
        <f>""</f>
        <v/>
      </c>
      <c r="AL416" s="5" t="str">
        <f>"25,00"</f>
        <v>25,00</v>
      </c>
      <c r="AM416" s="5" t="str">
        <f>"2032"</f>
        <v>2032</v>
      </c>
      <c r="AN416" s="5" t="str">
        <f t="shared" ref="AN416:AN427" si="678">"нет"</f>
        <v>нет</v>
      </c>
      <c r="AO416" s="5" t="str">
        <f>""</f>
        <v/>
      </c>
      <c r="AP416" s="5" t="str">
        <f>""</f>
        <v/>
      </c>
      <c r="AQ416" s="5" t="str">
        <f>""</f>
        <v/>
      </c>
      <c r="AR416" s="5" t="str">
        <f t="shared" ref="AR416:AR427" si="679">"нет"</f>
        <v>нет</v>
      </c>
      <c r="AS416" s="5" t="str">
        <f>""</f>
        <v/>
      </c>
      <c r="AT416" s="5" t="str">
        <f>""</f>
        <v/>
      </c>
      <c r="AU416" s="5" t="str">
        <f>""</f>
        <v/>
      </c>
      <c r="AV416" s="5" t="str">
        <f t="shared" ref="AV416:BF425" si="680">"х"</f>
        <v>х</v>
      </c>
      <c r="AW416" s="5" t="str">
        <f t="shared" si="680"/>
        <v>х</v>
      </c>
      <c r="AX416" s="5" t="str">
        <f t="shared" si="680"/>
        <v>х</v>
      </c>
      <c r="AY416" s="5" t="str">
        <f t="shared" si="680"/>
        <v>х</v>
      </c>
      <c r="AZ416" s="5" t="str">
        <f t="shared" si="680"/>
        <v>х</v>
      </c>
      <c r="BA416" s="5" t="str">
        <f t="shared" si="680"/>
        <v>х</v>
      </c>
      <c r="BB416" s="5" t="str">
        <f t="shared" si="680"/>
        <v>х</v>
      </c>
      <c r="BC416" s="5" t="str">
        <f t="shared" si="680"/>
        <v>х</v>
      </c>
      <c r="BD416" s="5" t="str">
        <f t="shared" si="680"/>
        <v>х</v>
      </c>
      <c r="BE416" s="5" t="str">
        <f t="shared" si="680"/>
        <v>х</v>
      </c>
      <c r="BF416" s="5" t="str">
        <f t="shared" si="680"/>
        <v>х</v>
      </c>
      <c r="BG416" s="5" t="str">
        <f>""</f>
        <v/>
      </c>
      <c r="BH416" s="5" t="str">
        <f>"22,00"</f>
        <v>22,00</v>
      </c>
      <c r="BI416" s="5" t="str">
        <f>"2034"</f>
        <v>2034</v>
      </c>
      <c r="BJ416" s="5" t="str">
        <f t="shared" si="672"/>
        <v>нет</v>
      </c>
      <c r="BK416" s="5" t="str">
        <f>""</f>
        <v/>
      </c>
      <c r="BL416" s="5" t="str">
        <f>""</f>
        <v/>
      </c>
      <c r="BM416" s="5" t="str">
        <f>""</f>
        <v/>
      </c>
      <c r="BN416" s="5" t="str">
        <f t="shared" si="673"/>
        <v>нет</v>
      </c>
      <c r="BO416" s="5" t="str">
        <f>""</f>
        <v/>
      </c>
      <c r="BP416" s="5" t="str">
        <f>""</f>
        <v/>
      </c>
      <c r="BQ416" s="5" t="str">
        <f>""</f>
        <v/>
      </c>
      <c r="BR416" s="5" t="str">
        <f>""</f>
        <v/>
      </c>
      <c r="BS416" s="5" t="str">
        <f>"25,00"</f>
        <v>25,00</v>
      </c>
      <c r="BT416" s="5" t="str">
        <f>"2017"</f>
        <v>2017</v>
      </c>
      <c r="BU416" s="5" t="str">
        <f t="shared" si="633"/>
        <v>нет</v>
      </c>
      <c r="BV416" s="5" t="str">
        <f t="shared" si="656"/>
        <v>x</v>
      </c>
      <c r="BW416" s="5" t="str">
        <f t="shared" si="656"/>
        <v>x</v>
      </c>
      <c r="BX416" s="5" t="str">
        <f t="shared" si="656"/>
        <v>x</v>
      </c>
      <c r="BY416" s="5" t="str">
        <f t="shared" si="674"/>
        <v>нет</v>
      </c>
      <c r="BZ416" s="5" t="str">
        <f t="shared" ref="BZ416:BZ447" si="681">"x"</f>
        <v>x</v>
      </c>
      <c r="CA416" s="5" t="str">
        <f>"25,00"</f>
        <v>25,00</v>
      </c>
      <c r="CB416" s="5" t="str">
        <f>"2017"</f>
        <v>2017</v>
      </c>
      <c r="CC416" s="5" t="str">
        <f>""</f>
        <v/>
      </c>
      <c r="CD416" s="5" t="str">
        <f>"20,00"</f>
        <v>20,00</v>
      </c>
      <c r="CE416" s="5" t="str">
        <f>"2032"</f>
        <v>2032</v>
      </c>
      <c r="CF416" s="5" t="str">
        <f>""</f>
        <v/>
      </c>
      <c r="CG416" s="5" t="str">
        <f>"15,00"</f>
        <v>15,00</v>
      </c>
      <c r="CH416" s="5" t="str">
        <f>"2033"</f>
        <v>2033</v>
      </c>
      <c r="CI416" s="5" t="str">
        <f>"25,00"</f>
        <v>25,00</v>
      </c>
      <c r="CJ416" s="5" t="str">
        <f>"2042"</f>
        <v>2042</v>
      </c>
    </row>
    <row r="417" spans="1:88" ht="11.25" customHeight="1">
      <c r="A417" s="3" t="str">
        <f>"1.404"</f>
        <v>1.404</v>
      </c>
      <c r="B417" s="4" t="str">
        <f>"д. Юрово, ул. Центральная, д.6А"</f>
        <v>д. Юрово, ул. Центральная, д.6А</v>
      </c>
      <c r="C417" s="7" t="str">
        <f>"1968"</f>
        <v>1968</v>
      </c>
      <c r="D417" s="5" t="str">
        <f>""</f>
        <v/>
      </c>
      <c r="E417" s="5" t="str">
        <f>"20,00"</f>
        <v>20,00</v>
      </c>
      <c r="F417" s="5" t="str">
        <f>"2032"</f>
        <v>2032</v>
      </c>
      <c r="G417" s="5" t="str">
        <f t="shared" si="662"/>
        <v>да</v>
      </c>
      <c r="H417" s="5" t="str">
        <f>""</f>
        <v/>
      </c>
      <c r="I417" s="5" t="str">
        <f>"15,00"</f>
        <v>15,00</v>
      </c>
      <c r="J417" s="5" t="str">
        <f>"2032"</f>
        <v>2032</v>
      </c>
      <c r="K417" s="5" t="str">
        <f t="shared" si="663"/>
        <v>да</v>
      </c>
      <c r="L417" s="5" t="str">
        <f>""</f>
        <v/>
      </c>
      <c r="M417" s="5" t="str">
        <f>"44,80"</f>
        <v>44,80</v>
      </c>
      <c r="N417" s="5" t="str">
        <f>"2016"</f>
        <v>2016</v>
      </c>
      <c r="O417" s="8" t="str">
        <f>""</f>
        <v/>
      </c>
      <c r="P417" s="5" t="str">
        <f>"18,00"</f>
        <v>18,00</v>
      </c>
      <c r="Q417" s="5" t="str">
        <f>"2030"</f>
        <v>2030</v>
      </c>
      <c r="R417" s="5" t="str">
        <f t="shared" si="676"/>
        <v>нет</v>
      </c>
      <c r="S417" s="5" t="str">
        <f>""</f>
        <v/>
      </c>
      <c r="T417" s="5" t="str">
        <f>""</f>
        <v/>
      </c>
      <c r="U417" s="5" t="str">
        <f>""</f>
        <v/>
      </c>
      <c r="V417" s="5" t="str">
        <f t="shared" si="677"/>
        <v>нет</v>
      </c>
      <c r="W417" s="5" t="str">
        <f>""</f>
        <v/>
      </c>
      <c r="X417" s="5" t="str">
        <f>""</f>
        <v/>
      </c>
      <c r="Y417" s="9" t="str">
        <f>""</f>
        <v/>
      </c>
      <c r="Z417" s="5" t="str">
        <f>""</f>
        <v/>
      </c>
      <c r="AA417" s="5" t="str">
        <f>"10,00"</f>
        <v>10,00</v>
      </c>
      <c r="AB417" s="5" t="str">
        <f>"2035"</f>
        <v>2035</v>
      </c>
      <c r="AC417" s="5" t="str">
        <f t="shared" si="666"/>
        <v>нет</v>
      </c>
      <c r="AD417" s="5" t="str">
        <f>""</f>
        <v/>
      </c>
      <c r="AE417" s="5" t="str">
        <f>""</f>
        <v/>
      </c>
      <c r="AF417" s="5" t="str">
        <f>""</f>
        <v/>
      </c>
      <c r="AG417" s="5" t="str">
        <f t="shared" si="667"/>
        <v>нет</v>
      </c>
      <c r="AH417" s="5" t="str">
        <f>""</f>
        <v/>
      </c>
      <c r="AI417" s="5" t="str">
        <f>""</f>
        <v/>
      </c>
      <c r="AJ417" s="5" t="str">
        <f>""</f>
        <v/>
      </c>
      <c r="AK417" s="8" t="str">
        <f>""</f>
        <v/>
      </c>
      <c r="AL417" s="5" t="str">
        <f>"43,00"</f>
        <v>43,00</v>
      </c>
      <c r="AM417" s="5" t="str">
        <f>"2026"</f>
        <v>2026</v>
      </c>
      <c r="AN417" s="5" t="str">
        <f t="shared" si="678"/>
        <v>нет</v>
      </c>
      <c r="AO417" s="5" t="str">
        <f>""</f>
        <v/>
      </c>
      <c r="AP417" s="5" t="str">
        <f>""</f>
        <v/>
      </c>
      <c r="AQ417" s="5" t="str">
        <f>""</f>
        <v/>
      </c>
      <c r="AR417" s="5" t="str">
        <f t="shared" si="679"/>
        <v>нет</v>
      </c>
      <c r="AS417" s="5" t="str">
        <f>""</f>
        <v/>
      </c>
      <c r="AT417" s="5" t="str">
        <f>""</f>
        <v/>
      </c>
      <c r="AU417" s="5" t="str">
        <f>""</f>
        <v/>
      </c>
      <c r="AV417" s="5" t="str">
        <f t="shared" si="680"/>
        <v>х</v>
      </c>
      <c r="AW417" s="5" t="str">
        <f t="shared" si="680"/>
        <v>х</v>
      </c>
      <c r="AX417" s="5" t="str">
        <f t="shared" si="680"/>
        <v>х</v>
      </c>
      <c r="AY417" s="5" t="str">
        <f t="shared" si="680"/>
        <v>х</v>
      </c>
      <c r="AZ417" s="5" t="str">
        <f t="shared" si="680"/>
        <v>х</v>
      </c>
      <c r="BA417" s="5" t="str">
        <f t="shared" si="680"/>
        <v>х</v>
      </c>
      <c r="BB417" s="5" t="str">
        <f t="shared" si="680"/>
        <v>х</v>
      </c>
      <c r="BC417" s="5" t="str">
        <f t="shared" si="680"/>
        <v>х</v>
      </c>
      <c r="BD417" s="5" t="str">
        <f t="shared" si="680"/>
        <v>х</v>
      </c>
      <c r="BE417" s="5" t="str">
        <f t="shared" si="680"/>
        <v>х</v>
      </c>
      <c r="BF417" s="5" t="str">
        <f t="shared" si="680"/>
        <v>х</v>
      </c>
      <c r="BG417" s="5" t="str">
        <f>""</f>
        <v/>
      </c>
      <c r="BH417" s="5" t="str">
        <f>"23,00"</f>
        <v>23,00</v>
      </c>
      <c r="BI417" s="5" t="str">
        <f>"2032"</f>
        <v>2032</v>
      </c>
      <c r="BJ417" s="5" t="str">
        <f t="shared" si="672"/>
        <v>нет</v>
      </c>
      <c r="BK417" s="5" t="str">
        <f>""</f>
        <v/>
      </c>
      <c r="BL417" s="5" t="str">
        <f>""</f>
        <v/>
      </c>
      <c r="BM417" s="5" t="str">
        <f>""</f>
        <v/>
      </c>
      <c r="BN417" s="5" t="str">
        <f t="shared" si="673"/>
        <v>нет</v>
      </c>
      <c r="BO417" s="5" t="str">
        <f>""</f>
        <v/>
      </c>
      <c r="BP417" s="5" t="str">
        <f>""</f>
        <v/>
      </c>
      <c r="BQ417" s="5" t="str">
        <f>""</f>
        <v/>
      </c>
      <c r="BR417" s="5" t="str">
        <f>""</f>
        <v/>
      </c>
      <c r="BS417" s="5" t="str">
        <f>"44,80"</f>
        <v>44,80</v>
      </c>
      <c r="BT417" s="5" t="str">
        <f>"2016"</f>
        <v>2016</v>
      </c>
      <c r="BU417" s="5" t="str">
        <f t="shared" si="633"/>
        <v>нет</v>
      </c>
      <c r="BV417" s="5" t="str">
        <f t="shared" si="656"/>
        <v>x</v>
      </c>
      <c r="BW417" s="5" t="str">
        <f t="shared" si="656"/>
        <v>x</v>
      </c>
      <c r="BX417" s="5" t="str">
        <f t="shared" si="656"/>
        <v>x</v>
      </c>
      <c r="BY417" s="5" t="str">
        <f t="shared" si="674"/>
        <v>нет</v>
      </c>
      <c r="BZ417" s="5" t="str">
        <f t="shared" si="681"/>
        <v>x</v>
      </c>
      <c r="CA417" s="5" t="str">
        <f t="shared" ref="CA417:CB447" si="682">"x"</f>
        <v>x</v>
      </c>
      <c r="CB417" s="5" t="str">
        <f t="shared" si="682"/>
        <v>x</v>
      </c>
      <c r="CC417" s="5" t="str">
        <f>""</f>
        <v/>
      </c>
      <c r="CD417" s="5" t="str">
        <f>"15,00"</f>
        <v>15,00</v>
      </c>
      <c r="CE417" s="5" t="str">
        <f>"2030"</f>
        <v>2030</v>
      </c>
      <c r="CF417" s="5" t="str">
        <f>""</f>
        <v/>
      </c>
      <c r="CG417" s="5" t="str">
        <f>"13,00"</f>
        <v>13,00</v>
      </c>
      <c r="CH417" s="5" t="str">
        <f>"2034"</f>
        <v>2034</v>
      </c>
      <c r="CI417" s="5" t="str">
        <f>"16,00"</f>
        <v>16,00</v>
      </c>
      <c r="CJ417" s="5" t="str">
        <f>"2041"</f>
        <v>2041</v>
      </c>
    </row>
    <row r="418" spans="1:88" ht="11.25" customHeight="1">
      <c r="A418" s="3" t="str">
        <f>"1.405"</f>
        <v>1.405</v>
      </c>
      <c r="B418" s="4" t="str">
        <f>"д. Юрово, ул. Центральная, д.7"</f>
        <v>д. Юрово, ул. Центральная, д.7</v>
      </c>
      <c r="C418" s="7" t="str">
        <f>"1987"</f>
        <v>1987</v>
      </c>
      <c r="D418" s="5" t="str">
        <f>""</f>
        <v/>
      </c>
      <c r="E418" s="5" t="str">
        <f>"19,00"</f>
        <v>19,00</v>
      </c>
      <c r="F418" s="5" t="str">
        <f>"2030"</f>
        <v>2030</v>
      </c>
      <c r="G418" s="5" t="str">
        <f t="shared" si="662"/>
        <v>да</v>
      </c>
      <c r="H418" s="5" t="str">
        <f>""</f>
        <v/>
      </c>
      <c r="I418" s="5" t="str">
        <f>"48,00"</f>
        <v>48,00</v>
      </c>
      <c r="J418" s="5" t="str">
        <f>"2018"</f>
        <v>2018</v>
      </c>
      <c r="K418" s="5" t="str">
        <f t="shared" si="663"/>
        <v>да</v>
      </c>
      <c r="L418" s="5" t="str">
        <f>""</f>
        <v/>
      </c>
      <c r="M418" s="5" t="str">
        <f>"48,00"</f>
        <v>48,00</v>
      </c>
      <c r="N418" s="5" t="str">
        <f>"2018"</f>
        <v>2018</v>
      </c>
      <c r="O418" s="8" t="str">
        <f>""</f>
        <v/>
      </c>
      <c r="P418" s="5" t="str">
        <f>"18,00"</f>
        <v>18,00</v>
      </c>
      <c r="Q418" s="5" t="str">
        <f>"2032"</f>
        <v>2032</v>
      </c>
      <c r="R418" s="5" t="str">
        <f t="shared" si="676"/>
        <v>нет</v>
      </c>
      <c r="S418" s="5" t="str">
        <f>""</f>
        <v/>
      </c>
      <c r="T418" s="5" t="str">
        <f>""</f>
        <v/>
      </c>
      <c r="U418" s="5" t="str">
        <f>""</f>
        <v/>
      </c>
      <c r="V418" s="5" t="str">
        <f t="shared" si="677"/>
        <v>нет</v>
      </c>
      <c r="W418" s="5" t="str">
        <f>""</f>
        <v/>
      </c>
      <c r="X418" s="5" t="str">
        <f>""</f>
        <v/>
      </c>
      <c r="Y418" s="9" t="str">
        <f>""</f>
        <v/>
      </c>
      <c r="Z418" s="5" t="str">
        <f>""</f>
        <v/>
      </c>
      <c r="AA418" s="5" t="str">
        <f>"10,00"</f>
        <v>10,00</v>
      </c>
      <c r="AB418" s="5" t="str">
        <f>"2034"</f>
        <v>2034</v>
      </c>
      <c r="AC418" s="5" t="str">
        <f t="shared" si="666"/>
        <v>нет</v>
      </c>
      <c r="AD418" s="5" t="str">
        <f>""</f>
        <v/>
      </c>
      <c r="AE418" s="5" t="str">
        <f>""</f>
        <v/>
      </c>
      <c r="AF418" s="5" t="str">
        <f>""</f>
        <v/>
      </c>
      <c r="AG418" s="5" t="str">
        <f t="shared" si="667"/>
        <v>нет</v>
      </c>
      <c r="AH418" s="5" t="str">
        <f>""</f>
        <v/>
      </c>
      <c r="AI418" s="5" t="str">
        <f>""</f>
        <v/>
      </c>
      <c r="AJ418" s="5" t="str">
        <f>""</f>
        <v/>
      </c>
      <c r="AK418" s="8" t="str">
        <f>""</f>
        <v/>
      </c>
      <c r="AL418" s="5" t="str">
        <f>"30,00"</f>
        <v>30,00</v>
      </c>
      <c r="AM418" s="5" t="str">
        <f>"2028"</f>
        <v>2028</v>
      </c>
      <c r="AN418" s="5" t="str">
        <f t="shared" si="678"/>
        <v>нет</v>
      </c>
      <c r="AO418" s="5" t="str">
        <f>""</f>
        <v/>
      </c>
      <c r="AP418" s="5" t="str">
        <f>""</f>
        <v/>
      </c>
      <c r="AQ418" s="5" t="str">
        <f>""</f>
        <v/>
      </c>
      <c r="AR418" s="5" t="str">
        <f t="shared" si="679"/>
        <v>нет</v>
      </c>
      <c r="AS418" s="5" t="str">
        <f>""</f>
        <v/>
      </c>
      <c r="AT418" s="5" t="str">
        <f>""</f>
        <v/>
      </c>
      <c r="AU418" s="5" t="str">
        <f>""</f>
        <v/>
      </c>
      <c r="AV418" s="5" t="str">
        <f t="shared" si="680"/>
        <v>х</v>
      </c>
      <c r="AW418" s="5" t="str">
        <f t="shared" si="680"/>
        <v>х</v>
      </c>
      <c r="AX418" s="5" t="str">
        <f t="shared" si="680"/>
        <v>х</v>
      </c>
      <c r="AY418" s="5" t="str">
        <f t="shared" si="680"/>
        <v>х</v>
      </c>
      <c r="AZ418" s="5" t="str">
        <f t="shared" si="680"/>
        <v>х</v>
      </c>
      <c r="BA418" s="5" t="str">
        <f t="shared" si="680"/>
        <v>х</v>
      </c>
      <c r="BB418" s="5" t="str">
        <f t="shared" si="680"/>
        <v>х</v>
      </c>
      <c r="BC418" s="5" t="str">
        <f t="shared" si="680"/>
        <v>х</v>
      </c>
      <c r="BD418" s="5" t="str">
        <f t="shared" si="680"/>
        <v>х</v>
      </c>
      <c r="BE418" s="5" t="str">
        <f t="shared" si="680"/>
        <v>х</v>
      </c>
      <c r="BF418" s="5" t="str">
        <f t="shared" si="680"/>
        <v>х</v>
      </c>
      <c r="BG418" s="5" t="str">
        <f>""</f>
        <v/>
      </c>
      <c r="BH418" s="5" t="str">
        <f>"26,00"</f>
        <v>26,00</v>
      </c>
      <c r="BI418" s="5" t="str">
        <f>"2029"</f>
        <v>2029</v>
      </c>
      <c r="BJ418" s="5" t="str">
        <f t="shared" si="672"/>
        <v>нет</v>
      </c>
      <c r="BK418" s="5" t="str">
        <f>""</f>
        <v/>
      </c>
      <c r="BL418" s="5" t="str">
        <f>""</f>
        <v/>
      </c>
      <c r="BM418" s="5" t="str">
        <f>""</f>
        <v/>
      </c>
      <c r="BN418" s="5" t="str">
        <f t="shared" si="673"/>
        <v>нет</v>
      </c>
      <c r="BO418" s="5" t="str">
        <f>""</f>
        <v/>
      </c>
      <c r="BP418" s="5" t="str">
        <f>""</f>
        <v/>
      </c>
      <c r="BQ418" s="5" t="str">
        <f>""</f>
        <v/>
      </c>
      <c r="BR418" s="5" t="str">
        <f>""</f>
        <v/>
      </c>
      <c r="BS418" s="5" t="str">
        <f>"24,00"</f>
        <v>24,00</v>
      </c>
      <c r="BT418" s="5" t="str">
        <f>"2018"</f>
        <v>2018</v>
      </c>
      <c r="BU418" s="5" t="str">
        <f t="shared" si="633"/>
        <v>нет</v>
      </c>
      <c r="BV418" s="5" t="str">
        <f t="shared" si="656"/>
        <v>x</v>
      </c>
      <c r="BW418" s="5" t="str">
        <f t="shared" si="656"/>
        <v>x</v>
      </c>
      <c r="BX418" s="5" t="str">
        <f t="shared" si="656"/>
        <v>x</v>
      </c>
      <c r="BY418" s="5" t="str">
        <f t="shared" si="674"/>
        <v>нет</v>
      </c>
      <c r="BZ418" s="5" t="str">
        <f t="shared" si="681"/>
        <v>x</v>
      </c>
      <c r="CA418" s="5" t="str">
        <f t="shared" si="682"/>
        <v>x</v>
      </c>
      <c r="CB418" s="5" t="str">
        <f t="shared" si="682"/>
        <v>x</v>
      </c>
      <c r="CC418" s="5" t="str">
        <f>""</f>
        <v/>
      </c>
      <c r="CD418" s="5" t="str">
        <f>"15,00"</f>
        <v>15,00</v>
      </c>
      <c r="CE418" s="5" t="str">
        <f>"2032"</f>
        <v>2032</v>
      </c>
      <c r="CF418" s="5" t="str">
        <f>""</f>
        <v/>
      </c>
      <c r="CG418" s="5" t="str">
        <f>"10,00"</f>
        <v>10,00</v>
      </c>
      <c r="CH418" s="5" t="str">
        <f>"2034"</f>
        <v>2034</v>
      </c>
      <c r="CI418" s="5" t="str">
        <f>"15,00"</f>
        <v>15,00</v>
      </c>
      <c r="CJ418" s="5" t="str">
        <f>"2043"</f>
        <v>2043</v>
      </c>
    </row>
    <row r="419" spans="1:88" ht="11.25" customHeight="1">
      <c r="A419" s="3" t="str">
        <f>"1.406"</f>
        <v>1.406</v>
      </c>
      <c r="B419" s="4" t="str">
        <f>"д. Юрово, ул. Центральная, д.8"</f>
        <v>д. Юрово, ул. Центральная, д.8</v>
      </c>
      <c r="C419" s="7" t="str">
        <f>"1979"</f>
        <v>1979</v>
      </c>
      <c r="D419" s="5" t="str">
        <f>""</f>
        <v/>
      </c>
      <c r="E419" s="5" t="str">
        <f>"30,00"</f>
        <v>30,00</v>
      </c>
      <c r="F419" s="5" t="str">
        <f>"2027"</f>
        <v>2027</v>
      </c>
      <c r="G419" s="5" t="str">
        <f t="shared" si="662"/>
        <v>да</v>
      </c>
      <c r="H419" s="5" t="str">
        <f>""</f>
        <v/>
      </c>
      <c r="I419" s="5" t="str">
        <f>"28,00"</f>
        <v>28,00</v>
      </c>
      <c r="J419" s="5" t="str">
        <f>"2027"</f>
        <v>2027</v>
      </c>
      <c r="K419" s="5" t="str">
        <f t="shared" si="663"/>
        <v>да</v>
      </c>
      <c r="L419" s="5" t="str">
        <f>""</f>
        <v/>
      </c>
      <c r="M419" s="5" t="str">
        <f>"30,40"</f>
        <v>30,40</v>
      </c>
      <c r="N419" s="5" t="str">
        <f>"2027"</f>
        <v>2027</v>
      </c>
      <c r="O419" s="8" t="str">
        <f>""</f>
        <v/>
      </c>
      <c r="P419" s="5" t="str">
        <f>"30,00"</f>
        <v>30,00</v>
      </c>
      <c r="Q419" s="5" t="str">
        <f>"2029"</f>
        <v>2029</v>
      </c>
      <c r="R419" s="5" t="str">
        <f t="shared" si="676"/>
        <v>нет</v>
      </c>
      <c r="S419" s="5" t="str">
        <f>""</f>
        <v/>
      </c>
      <c r="T419" s="5" t="str">
        <f>""</f>
        <v/>
      </c>
      <c r="U419" s="5" t="str">
        <f>""</f>
        <v/>
      </c>
      <c r="V419" s="5" t="str">
        <f t="shared" si="677"/>
        <v>нет</v>
      </c>
      <c r="W419" s="5" t="str">
        <f>""</f>
        <v/>
      </c>
      <c r="X419" s="5" t="str">
        <f>""</f>
        <v/>
      </c>
      <c r="Y419" s="9" t="str">
        <f>""</f>
        <v/>
      </c>
      <c r="Z419" s="5" t="str">
        <f>""</f>
        <v/>
      </c>
      <c r="AA419" s="5" t="str">
        <f>"20,00"</f>
        <v>20,00</v>
      </c>
      <c r="AB419" s="5" t="str">
        <f>"2032"</f>
        <v>2032</v>
      </c>
      <c r="AC419" s="5" t="str">
        <f t="shared" si="666"/>
        <v>нет</v>
      </c>
      <c r="AD419" s="5" t="str">
        <f>""</f>
        <v/>
      </c>
      <c r="AE419" s="5" t="str">
        <f>""</f>
        <v/>
      </c>
      <c r="AF419" s="5" t="str">
        <f>""</f>
        <v/>
      </c>
      <c r="AG419" s="5" t="str">
        <f t="shared" si="667"/>
        <v>нет</v>
      </c>
      <c r="AH419" s="5" t="str">
        <f>""</f>
        <v/>
      </c>
      <c r="AI419" s="5" t="str">
        <f>""</f>
        <v/>
      </c>
      <c r="AJ419" s="5" t="str">
        <f>""</f>
        <v/>
      </c>
      <c r="AK419" s="8" t="str">
        <f>""</f>
        <v/>
      </c>
      <c r="AL419" s="5" t="str">
        <f>"30,00"</f>
        <v>30,00</v>
      </c>
      <c r="AM419" s="5" t="str">
        <f>"2030"</f>
        <v>2030</v>
      </c>
      <c r="AN419" s="5" t="str">
        <f t="shared" si="678"/>
        <v>нет</v>
      </c>
      <c r="AO419" s="5" t="str">
        <f>""</f>
        <v/>
      </c>
      <c r="AP419" s="5" t="str">
        <f>""</f>
        <v/>
      </c>
      <c r="AQ419" s="5" t="str">
        <f>""</f>
        <v/>
      </c>
      <c r="AR419" s="5" t="str">
        <f t="shared" si="679"/>
        <v>нет</v>
      </c>
      <c r="AS419" s="5" t="str">
        <f>""</f>
        <v/>
      </c>
      <c r="AT419" s="5" t="str">
        <f>""</f>
        <v/>
      </c>
      <c r="AU419" s="5" t="str">
        <f>""</f>
        <v/>
      </c>
      <c r="AV419" s="5" t="str">
        <f t="shared" si="680"/>
        <v>х</v>
      </c>
      <c r="AW419" s="5" t="str">
        <f t="shared" si="680"/>
        <v>х</v>
      </c>
      <c r="AX419" s="5" t="str">
        <f t="shared" si="680"/>
        <v>х</v>
      </c>
      <c r="AY419" s="5" t="str">
        <f t="shared" si="680"/>
        <v>х</v>
      </c>
      <c r="AZ419" s="5" t="str">
        <f t="shared" si="680"/>
        <v>х</v>
      </c>
      <c r="BA419" s="5" t="str">
        <f t="shared" si="680"/>
        <v>х</v>
      </c>
      <c r="BB419" s="5" t="str">
        <f t="shared" si="680"/>
        <v>х</v>
      </c>
      <c r="BC419" s="5" t="str">
        <f t="shared" si="680"/>
        <v>х</v>
      </c>
      <c r="BD419" s="5" t="str">
        <f t="shared" si="680"/>
        <v>х</v>
      </c>
      <c r="BE419" s="5" t="str">
        <f t="shared" si="680"/>
        <v>х</v>
      </c>
      <c r="BF419" s="5" t="str">
        <f t="shared" si="680"/>
        <v>х</v>
      </c>
      <c r="BG419" s="5" t="str">
        <f>""</f>
        <v/>
      </c>
      <c r="BH419" s="5" t="str">
        <f>"35,00"</f>
        <v>35,00</v>
      </c>
      <c r="BI419" s="5" t="str">
        <f>"2026"</f>
        <v>2026</v>
      </c>
      <c r="BJ419" s="5" t="str">
        <f t="shared" si="672"/>
        <v>нет</v>
      </c>
      <c r="BK419" s="5" t="str">
        <f>""</f>
        <v/>
      </c>
      <c r="BL419" s="5" t="str">
        <f>""</f>
        <v/>
      </c>
      <c r="BM419" s="5" t="str">
        <f>""</f>
        <v/>
      </c>
      <c r="BN419" s="5" t="str">
        <f t="shared" si="673"/>
        <v>нет</v>
      </c>
      <c r="BO419" s="5" t="str">
        <f>""</f>
        <v/>
      </c>
      <c r="BP419" s="5" t="str">
        <f>""</f>
        <v/>
      </c>
      <c r="BQ419" s="5" t="str">
        <f>""</f>
        <v/>
      </c>
      <c r="BR419" s="5" t="str">
        <f>""</f>
        <v/>
      </c>
      <c r="BS419" s="5" t="str">
        <f>"20,00"</f>
        <v>20,00</v>
      </c>
      <c r="BT419" s="5" t="str">
        <f>"2021"</f>
        <v>2021</v>
      </c>
      <c r="BU419" s="5" t="str">
        <f t="shared" si="633"/>
        <v>нет</v>
      </c>
      <c r="BV419" s="5" t="str">
        <f t="shared" si="656"/>
        <v>x</v>
      </c>
      <c r="BW419" s="5" t="str">
        <f t="shared" si="656"/>
        <v>x</v>
      </c>
      <c r="BX419" s="5" t="str">
        <f t="shared" si="656"/>
        <v>x</v>
      </c>
      <c r="BY419" s="5" t="str">
        <f t="shared" si="674"/>
        <v>нет</v>
      </c>
      <c r="BZ419" s="5" t="str">
        <f t="shared" si="681"/>
        <v>x</v>
      </c>
      <c r="CA419" s="5" t="str">
        <f t="shared" si="682"/>
        <v>x</v>
      </c>
      <c r="CB419" s="5" t="str">
        <f t="shared" si="682"/>
        <v>x</v>
      </c>
      <c r="CC419" s="5" t="str">
        <f>""</f>
        <v/>
      </c>
      <c r="CD419" s="5" t="str">
        <f>"15,00"</f>
        <v>15,00</v>
      </c>
      <c r="CE419" s="5" t="str">
        <f>"2036"</f>
        <v>2036</v>
      </c>
      <c r="CF419" s="5" t="str">
        <f>""</f>
        <v/>
      </c>
      <c r="CG419" s="5" t="str">
        <f>"15,00"</f>
        <v>15,00</v>
      </c>
      <c r="CH419" s="5" t="str">
        <f>"2038"</f>
        <v>2038</v>
      </c>
      <c r="CI419" s="5" t="str">
        <f>"30,40"</f>
        <v>30,40</v>
      </c>
      <c r="CJ419" s="5" t="str">
        <f>"2040"</f>
        <v>2040</v>
      </c>
    </row>
    <row r="420" spans="1:88" ht="11.25" customHeight="1">
      <c r="A420" s="3" t="str">
        <f>"1.407"</f>
        <v>1.407</v>
      </c>
      <c r="B420" s="4" t="str">
        <f>"д. Юрово, ул. Центральная, д.9"</f>
        <v>д. Юрово, ул. Центральная, д.9</v>
      </c>
      <c r="C420" s="7" t="str">
        <f>"1987"</f>
        <v>1987</v>
      </c>
      <c r="D420" s="5" t="str">
        <f>""</f>
        <v/>
      </c>
      <c r="E420" s="5" t="str">
        <f>"18,00"</f>
        <v>18,00</v>
      </c>
      <c r="F420" s="5" t="str">
        <f>"2034"</f>
        <v>2034</v>
      </c>
      <c r="G420" s="5" t="str">
        <f t="shared" si="662"/>
        <v>да</v>
      </c>
      <c r="H420" s="5" t="str">
        <f>""</f>
        <v/>
      </c>
      <c r="I420" s="5" t="str">
        <f>"18,00"</f>
        <v>18,00</v>
      </c>
      <c r="J420" s="5" t="str">
        <f>"2034"</f>
        <v>2034</v>
      </c>
      <c r="K420" s="5" t="str">
        <f t="shared" si="663"/>
        <v>да</v>
      </c>
      <c r="L420" s="5" t="str">
        <f>""</f>
        <v/>
      </c>
      <c r="M420" s="5" t="str">
        <f>"18,00"</f>
        <v>18,00</v>
      </c>
      <c r="N420" s="5" t="str">
        <f>"2034"</f>
        <v>2034</v>
      </c>
      <c r="O420" s="8" t="str">
        <f>""</f>
        <v/>
      </c>
      <c r="P420" s="5" t="str">
        <f>"20,00"</f>
        <v>20,00</v>
      </c>
      <c r="Q420" s="5" t="str">
        <f>"2036"</f>
        <v>2036</v>
      </c>
      <c r="R420" s="5" t="str">
        <f t="shared" si="676"/>
        <v>нет</v>
      </c>
      <c r="S420" s="5" t="str">
        <f>""</f>
        <v/>
      </c>
      <c r="T420" s="5" t="str">
        <f>""</f>
        <v/>
      </c>
      <c r="U420" s="5" t="str">
        <f>""</f>
        <v/>
      </c>
      <c r="V420" s="5" t="str">
        <f t="shared" si="677"/>
        <v>нет</v>
      </c>
      <c r="W420" s="5" t="str">
        <f>""</f>
        <v/>
      </c>
      <c r="X420" s="5" t="str">
        <f>""</f>
        <v/>
      </c>
      <c r="Y420" s="9" t="str">
        <f>""</f>
        <v/>
      </c>
      <c r="Z420" s="5" t="str">
        <f>""</f>
        <v/>
      </c>
      <c r="AA420" s="5" t="str">
        <f>"15,00"</f>
        <v>15,00</v>
      </c>
      <c r="AB420" s="5" t="str">
        <f>"2038"</f>
        <v>2038</v>
      </c>
      <c r="AC420" s="5" t="str">
        <f t="shared" si="666"/>
        <v>нет</v>
      </c>
      <c r="AD420" s="5" t="str">
        <f>""</f>
        <v/>
      </c>
      <c r="AE420" s="5" t="str">
        <f>""</f>
        <v/>
      </c>
      <c r="AF420" s="5" t="str">
        <f>""</f>
        <v/>
      </c>
      <c r="AG420" s="5" t="str">
        <f t="shared" si="667"/>
        <v>нет</v>
      </c>
      <c r="AH420" s="5" t="str">
        <f>""</f>
        <v/>
      </c>
      <c r="AI420" s="5" t="str">
        <f>""</f>
        <v/>
      </c>
      <c r="AJ420" s="5" t="str">
        <f>""</f>
        <v/>
      </c>
      <c r="AK420" s="8" t="str">
        <f>""</f>
        <v/>
      </c>
      <c r="AL420" s="5" t="str">
        <f>"18,00"</f>
        <v>18,00</v>
      </c>
      <c r="AM420" s="5" t="str">
        <f>"2027"</f>
        <v>2027</v>
      </c>
      <c r="AN420" s="5" t="str">
        <f t="shared" si="678"/>
        <v>нет</v>
      </c>
      <c r="AO420" s="5" t="str">
        <f>""</f>
        <v/>
      </c>
      <c r="AP420" s="5" t="str">
        <f>""</f>
        <v/>
      </c>
      <c r="AQ420" s="5" t="str">
        <f>""</f>
        <v/>
      </c>
      <c r="AR420" s="5" t="str">
        <f t="shared" si="679"/>
        <v>нет</v>
      </c>
      <c r="AS420" s="5" t="str">
        <f>""</f>
        <v/>
      </c>
      <c r="AT420" s="5" t="str">
        <f>""</f>
        <v/>
      </c>
      <c r="AU420" s="5" t="str">
        <f>""</f>
        <v/>
      </c>
      <c r="AV420" s="5" t="str">
        <f t="shared" si="680"/>
        <v>х</v>
      </c>
      <c r="AW420" s="5" t="str">
        <f t="shared" si="680"/>
        <v>х</v>
      </c>
      <c r="AX420" s="5" t="str">
        <f t="shared" si="680"/>
        <v>х</v>
      </c>
      <c r="AY420" s="5" t="str">
        <f t="shared" si="680"/>
        <v>х</v>
      </c>
      <c r="AZ420" s="5" t="str">
        <f t="shared" si="680"/>
        <v>х</v>
      </c>
      <c r="BA420" s="5" t="str">
        <f t="shared" si="680"/>
        <v>х</v>
      </c>
      <c r="BB420" s="5" t="str">
        <f t="shared" si="680"/>
        <v>х</v>
      </c>
      <c r="BC420" s="5" t="str">
        <f t="shared" si="680"/>
        <v>х</v>
      </c>
      <c r="BD420" s="5" t="str">
        <f t="shared" si="680"/>
        <v>х</v>
      </c>
      <c r="BE420" s="5" t="str">
        <f t="shared" si="680"/>
        <v>х</v>
      </c>
      <c r="BF420" s="5" t="str">
        <f t="shared" si="680"/>
        <v>х</v>
      </c>
      <c r="BG420" s="5" t="str">
        <f>""</f>
        <v/>
      </c>
      <c r="BH420" s="5" t="str">
        <f>"30,00"</f>
        <v>30,00</v>
      </c>
      <c r="BI420" s="5" t="str">
        <f>"2026"</f>
        <v>2026</v>
      </c>
      <c r="BJ420" s="5" t="str">
        <f t="shared" si="672"/>
        <v>нет</v>
      </c>
      <c r="BK420" s="5" t="str">
        <f>""</f>
        <v/>
      </c>
      <c r="BL420" s="5" t="str">
        <f>""</f>
        <v/>
      </c>
      <c r="BM420" s="5" t="str">
        <f>""</f>
        <v/>
      </c>
      <c r="BN420" s="5" t="str">
        <f t="shared" si="673"/>
        <v>нет</v>
      </c>
      <c r="BO420" s="5" t="str">
        <f>""</f>
        <v/>
      </c>
      <c r="BP420" s="5" t="str">
        <f>""</f>
        <v/>
      </c>
      <c r="BQ420" s="5" t="str">
        <f>""</f>
        <v/>
      </c>
      <c r="BR420" s="5" t="str">
        <f>""</f>
        <v/>
      </c>
      <c r="BS420" s="5" t="str">
        <f>"30,00"</f>
        <v>30,00</v>
      </c>
      <c r="BT420" s="5" t="str">
        <f>"2020"</f>
        <v>2020</v>
      </c>
      <c r="BU420" s="5" t="str">
        <f t="shared" si="633"/>
        <v>нет</v>
      </c>
      <c r="BV420" s="5" t="str">
        <f t="shared" ref="BV420:BX439" si="683">"x"</f>
        <v>x</v>
      </c>
      <c r="BW420" s="5" t="str">
        <f t="shared" si="683"/>
        <v>x</v>
      </c>
      <c r="BX420" s="5" t="str">
        <f t="shared" si="683"/>
        <v>x</v>
      </c>
      <c r="BY420" s="5" t="str">
        <f t="shared" si="674"/>
        <v>нет</v>
      </c>
      <c r="BZ420" s="5" t="str">
        <f t="shared" si="681"/>
        <v>x</v>
      </c>
      <c r="CA420" s="5" t="str">
        <f t="shared" si="682"/>
        <v>x</v>
      </c>
      <c r="CB420" s="5" t="str">
        <f t="shared" si="682"/>
        <v>x</v>
      </c>
      <c r="CC420" s="5" t="str">
        <f>""</f>
        <v/>
      </c>
      <c r="CD420" s="5" t="str">
        <f>"20,00"</f>
        <v>20,00</v>
      </c>
      <c r="CE420" s="5" t="str">
        <f>"2030"</f>
        <v>2030</v>
      </c>
      <c r="CF420" s="5" t="str">
        <f>""</f>
        <v/>
      </c>
      <c r="CG420" s="5" t="str">
        <f>"25,00"</f>
        <v>25,00</v>
      </c>
      <c r="CH420" s="5" t="str">
        <f>"2032"</f>
        <v>2032</v>
      </c>
      <c r="CI420" s="5" t="str">
        <f>"13,00"</f>
        <v>13,00</v>
      </c>
      <c r="CJ420" s="5" t="str">
        <f>"2043"</f>
        <v>2043</v>
      </c>
    </row>
    <row r="421" spans="1:88" ht="11.25" customHeight="1">
      <c r="A421" s="3" t="str">
        <f>"1.408"</f>
        <v>1.408</v>
      </c>
      <c r="B421" s="4" t="str">
        <f>"д. Юрово, ул. Школьная, д.13"</f>
        <v>д. Юрово, ул. Школьная, д.13</v>
      </c>
      <c r="C421" s="7" t="str">
        <f>"1961"</f>
        <v>1961</v>
      </c>
      <c r="D421" s="5" t="str">
        <f>""</f>
        <v/>
      </c>
      <c r="E421" s="5" t="str">
        <f>"45,00"</f>
        <v>45,00</v>
      </c>
      <c r="F421" s="5" t="str">
        <f>"2027"</f>
        <v>2027</v>
      </c>
      <c r="G421" s="5" t="str">
        <f t="shared" si="662"/>
        <v>да</v>
      </c>
      <c r="H421" s="5" t="str">
        <f>""</f>
        <v/>
      </c>
      <c r="I421" s="5" t="str">
        <f>"30,00"</f>
        <v>30,00</v>
      </c>
      <c r="J421" s="5" t="str">
        <f>"2027"</f>
        <v>2027</v>
      </c>
      <c r="K421" s="5" t="str">
        <f t="shared" si="663"/>
        <v>да</v>
      </c>
      <c r="L421" s="5" t="str">
        <f>""</f>
        <v/>
      </c>
      <c r="M421" s="5" t="str">
        <f>"48,00"</f>
        <v>48,00</v>
      </c>
      <c r="N421" s="5" t="str">
        <f>"2027"</f>
        <v>2027</v>
      </c>
      <c r="O421" s="8" t="str">
        <f>""</f>
        <v/>
      </c>
      <c r="P421" s="5" t="str">
        <f>"20,00"</f>
        <v>20,00</v>
      </c>
      <c r="Q421" s="5" t="str">
        <f>"2028"</f>
        <v>2028</v>
      </c>
      <c r="R421" s="5" t="str">
        <f t="shared" si="676"/>
        <v>нет</v>
      </c>
      <c r="S421" s="5" t="str">
        <f>""</f>
        <v/>
      </c>
      <c r="T421" s="5" t="str">
        <f>""</f>
        <v/>
      </c>
      <c r="U421" s="5" t="str">
        <f>""</f>
        <v/>
      </c>
      <c r="V421" s="5" t="str">
        <f t="shared" si="677"/>
        <v>нет</v>
      </c>
      <c r="W421" s="5" t="str">
        <f>""</f>
        <v/>
      </c>
      <c r="X421" s="5" t="str">
        <f>""</f>
        <v/>
      </c>
      <c r="Y421" s="9" t="str">
        <f>""</f>
        <v/>
      </c>
      <c r="Z421" s="5" t="str">
        <f>""</f>
        <v/>
      </c>
      <c r="AA421" s="5" t="str">
        <f>"15,00"</f>
        <v>15,00</v>
      </c>
      <c r="AB421" s="5" t="str">
        <f>"2031"</f>
        <v>2031</v>
      </c>
      <c r="AC421" s="5" t="str">
        <f t="shared" si="666"/>
        <v>нет</v>
      </c>
      <c r="AD421" s="5" t="str">
        <f>""</f>
        <v/>
      </c>
      <c r="AE421" s="5" t="str">
        <f>""</f>
        <v/>
      </c>
      <c r="AF421" s="5" t="str">
        <f>""</f>
        <v/>
      </c>
      <c r="AG421" s="5" t="str">
        <f t="shared" si="667"/>
        <v>нет</v>
      </c>
      <c r="AH421" s="5" t="str">
        <f>""</f>
        <v/>
      </c>
      <c r="AI421" s="5" t="str">
        <f>""</f>
        <v/>
      </c>
      <c r="AJ421" s="5" t="str">
        <f>""</f>
        <v/>
      </c>
      <c r="AK421" s="8" t="str">
        <f>""</f>
        <v/>
      </c>
      <c r="AL421" s="5" t="str">
        <f>"20,00"</f>
        <v>20,00</v>
      </c>
      <c r="AM421" s="5" t="str">
        <f>"2030"</f>
        <v>2030</v>
      </c>
      <c r="AN421" s="5" t="str">
        <f t="shared" si="678"/>
        <v>нет</v>
      </c>
      <c r="AO421" s="5" t="str">
        <f>""</f>
        <v/>
      </c>
      <c r="AP421" s="5" t="str">
        <f>""</f>
        <v/>
      </c>
      <c r="AQ421" s="5" t="str">
        <f>""</f>
        <v/>
      </c>
      <c r="AR421" s="5" t="str">
        <f t="shared" si="679"/>
        <v>нет</v>
      </c>
      <c r="AS421" s="5" t="str">
        <f>""</f>
        <v/>
      </c>
      <c r="AT421" s="5" t="str">
        <f>""</f>
        <v/>
      </c>
      <c r="AU421" s="5" t="str">
        <f>""</f>
        <v/>
      </c>
      <c r="AV421" s="5" t="str">
        <f t="shared" si="680"/>
        <v>х</v>
      </c>
      <c r="AW421" s="5" t="str">
        <f t="shared" si="680"/>
        <v>х</v>
      </c>
      <c r="AX421" s="5" t="str">
        <f t="shared" si="680"/>
        <v>х</v>
      </c>
      <c r="AY421" s="5" t="str">
        <f t="shared" si="680"/>
        <v>х</v>
      </c>
      <c r="AZ421" s="5" t="str">
        <f t="shared" si="680"/>
        <v>х</v>
      </c>
      <c r="BA421" s="5" t="str">
        <f t="shared" si="680"/>
        <v>х</v>
      </c>
      <c r="BB421" s="5" t="str">
        <f t="shared" si="680"/>
        <v>х</v>
      </c>
      <c r="BC421" s="5" t="str">
        <f t="shared" si="680"/>
        <v>х</v>
      </c>
      <c r="BD421" s="5" t="str">
        <f t="shared" si="680"/>
        <v>х</v>
      </c>
      <c r="BE421" s="5" t="str">
        <f t="shared" si="680"/>
        <v>х</v>
      </c>
      <c r="BF421" s="5" t="str">
        <f t="shared" si="680"/>
        <v>х</v>
      </c>
      <c r="BG421" s="5" t="str">
        <f>""</f>
        <v/>
      </c>
      <c r="BH421" s="5" t="str">
        <f>"25,00"</f>
        <v>25,00</v>
      </c>
      <c r="BI421" s="5" t="str">
        <f>"2029"</f>
        <v>2029</v>
      </c>
      <c r="BJ421" s="5" t="str">
        <f t="shared" si="672"/>
        <v>нет</v>
      </c>
      <c r="BK421" s="5" t="str">
        <f>""</f>
        <v/>
      </c>
      <c r="BL421" s="5" t="str">
        <f>""</f>
        <v/>
      </c>
      <c r="BM421" s="5" t="str">
        <f>""</f>
        <v/>
      </c>
      <c r="BN421" s="5" t="str">
        <f t="shared" si="673"/>
        <v>нет</v>
      </c>
      <c r="BO421" s="5" t="str">
        <f>""</f>
        <v/>
      </c>
      <c r="BP421" s="5" t="str">
        <f>""</f>
        <v/>
      </c>
      <c r="BQ421" s="5" t="str">
        <f>""</f>
        <v/>
      </c>
      <c r="BR421" s="5" t="str">
        <f>""</f>
        <v/>
      </c>
      <c r="BS421" s="5" t="str">
        <f>"48,00"</f>
        <v>48,00</v>
      </c>
      <c r="BT421" s="5" t="str">
        <f>"2017"</f>
        <v>2017</v>
      </c>
      <c r="BU421" s="5" t="str">
        <f t="shared" si="633"/>
        <v>нет</v>
      </c>
      <c r="BV421" s="5" t="str">
        <f t="shared" si="683"/>
        <v>x</v>
      </c>
      <c r="BW421" s="5" t="str">
        <f t="shared" si="683"/>
        <v>x</v>
      </c>
      <c r="BX421" s="5" t="str">
        <f t="shared" si="683"/>
        <v>x</v>
      </c>
      <c r="BY421" s="5" t="str">
        <f t="shared" si="674"/>
        <v>нет</v>
      </c>
      <c r="BZ421" s="5" t="str">
        <f t="shared" si="681"/>
        <v>x</v>
      </c>
      <c r="CA421" s="5" t="str">
        <f t="shared" si="682"/>
        <v>x</v>
      </c>
      <c r="CB421" s="5" t="str">
        <f t="shared" si="682"/>
        <v>x</v>
      </c>
      <c r="CC421" s="5" t="str">
        <f>""</f>
        <v/>
      </c>
      <c r="CD421" s="5" t="str">
        <f>"48,00"</f>
        <v>48,00</v>
      </c>
      <c r="CE421" s="5" t="str">
        <f>"2019"</f>
        <v>2019</v>
      </c>
      <c r="CF421" s="5" t="str">
        <f>""</f>
        <v/>
      </c>
      <c r="CG421" s="5" t="str">
        <f>"30,00"</f>
        <v>30,00</v>
      </c>
      <c r="CH421" s="5" t="str">
        <f>"2023"</f>
        <v>2023</v>
      </c>
      <c r="CI421" s="5" t="str">
        <f>"42,00"</f>
        <v>42,00</v>
      </c>
      <c r="CJ421" s="5" t="str">
        <f>"2040"</f>
        <v>2040</v>
      </c>
    </row>
    <row r="422" spans="1:88" ht="11.25" customHeight="1">
      <c r="A422" s="3" t="str">
        <f>"1.409"</f>
        <v>1.409</v>
      </c>
      <c r="B422" s="4" t="str">
        <f>"д. Юрово, ул. Школьная, д.13А"</f>
        <v>д. Юрово, ул. Школьная, д.13А</v>
      </c>
      <c r="C422" s="7" t="str">
        <f>"1961"</f>
        <v>1961</v>
      </c>
      <c r="D422" s="5" t="str">
        <f>""</f>
        <v/>
      </c>
      <c r="E422" s="5" t="str">
        <f>"45,00"</f>
        <v>45,00</v>
      </c>
      <c r="F422" s="5" t="str">
        <f>"2024"</f>
        <v>2024</v>
      </c>
      <c r="G422" s="5" t="str">
        <f t="shared" si="662"/>
        <v>да</v>
      </c>
      <c r="H422" s="5" t="str">
        <f>""</f>
        <v/>
      </c>
      <c r="I422" s="5" t="str">
        <f>"40,00"</f>
        <v>40,00</v>
      </c>
      <c r="J422" s="5" t="str">
        <f>"2024"</f>
        <v>2024</v>
      </c>
      <c r="K422" s="5" t="str">
        <f t="shared" si="663"/>
        <v>да</v>
      </c>
      <c r="L422" s="5" t="str">
        <f>""</f>
        <v/>
      </c>
      <c r="M422" s="5" t="str">
        <f>"48,00"</f>
        <v>48,00</v>
      </c>
      <c r="N422" s="5" t="str">
        <f>"2016"</f>
        <v>2016</v>
      </c>
      <c r="O422" s="8" t="str">
        <f>""</f>
        <v/>
      </c>
      <c r="P422" s="5" t="str">
        <f>"35,00"</f>
        <v>35,00</v>
      </c>
      <c r="Q422" s="5" t="str">
        <f>"2026"</f>
        <v>2026</v>
      </c>
      <c r="R422" s="5" t="str">
        <f t="shared" si="676"/>
        <v>нет</v>
      </c>
      <c r="S422" s="5" t="str">
        <f>""</f>
        <v/>
      </c>
      <c r="T422" s="5" t="str">
        <f>""</f>
        <v/>
      </c>
      <c r="U422" s="5" t="str">
        <f>""</f>
        <v/>
      </c>
      <c r="V422" s="5" t="str">
        <f t="shared" si="677"/>
        <v>нет</v>
      </c>
      <c r="W422" s="5" t="str">
        <f>""</f>
        <v/>
      </c>
      <c r="X422" s="5" t="str">
        <f>""</f>
        <v/>
      </c>
      <c r="Y422" s="9" t="str">
        <f>""</f>
        <v/>
      </c>
      <c r="Z422" s="5" t="str">
        <f>""</f>
        <v/>
      </c>
      <c r="AA422" s="5" t="str">
        <f>"20,00"</f>
        <v>20,00</v>
      </c>
      <c r="AB422" s="5" t="str">
        <f>"2030"</f>
        <v>2030</v>
      </c>
      <c r="AC422" s="5" t="str">
        <f t="shared" si="666"/>
        <v>нет</v>
      </c>
      <c r="AD422" s="5" t="str">
        <f>""</f>
        <v/>
      </c>
      <c r="AE422" s="5" t="str">
        <f>""</f>
        <v/>
      </c>
      <c r="AF422" s="5" t="str">
        <f>""</f>
        <v/>
      </c>
      <c r="AG422" s="5" t="str">
        <f t="shared" si="667"/>
        <v>нет</v>
      </c>
      <c r="AH422" s="5" t="str">
        <f>""</f>
        <v/>
      </c>
      <c r="AI422" s="5" t="str">
        <f>""</f>
        <v/>
      </c>
      <c r="AJ422" s="5" t="str">
        <f>""</f>
        <v/>
      </c>
      <c r="AK422" s="8" t="str">
        <f>""</f>
        <v/>
      </c>
      <c r="AL422" s="5" t="str">
        <f>"28,00"</f>
        <v>28,00</v>
      </c>
      <c r="AM422" s="5" t="str">
        <f>"2027"</f>
        <v>2027</v>
      </c>
      <c r="AN422" s="5" t="str">
        <f t="shared" si="678"/>
        <v>нет</v>
      </c>
      <c r="AO422" s="5" t="str">
        <f>""</f>
        <v/>
      </c>
      <c r="AP422" s="5" t="str">
        <f>""</f>
        <v/>
      </c>
      <c r="AQ422" s="5" t="str">
        <f>""</f>
        <v/>
      </c>
      <c r="AR422" s="5" t="str">
        <f t="shared" si="679"/>
        <v>нет</v>
      </c>
      <c r="AS422" s="5" t="str">
        <f>""</f>
        <v/>
      </c>
      <c r="AT422" s="5" t="str">
        <f>""</f>
        <v/>
      </c>
      <c r="AU422" s="5" t="str">
        <f>""</f>
        <v/>
      </c>
      <c r="AV422" s="5" t="str">
        <f t="shared" si="680"/>
        <v>х</v>
      </c>
      <c r="AW422" s="5" t="str">
        <f t="shared" si="680"/>
        <v>х</v>
      </c>
      <c r="AX422" s="5" t="str">
        <f t="shared" si="680"/>
        <v>х</v>
      </c>
      <c r="AY422" s="5" t="str">
        <f t="shared" si="680"/>
        <v>х</v>
      </c>
      <c r="AZ422" s="5" t="str">
        <f t="shared" si="680"/>
        <v>х</v>
      </c>
      <c r="BA422" s="5" t="str">
        <f t="shared" si="680"/>
        <v>х</v>
      </c>
      <c r="BB422" s="5" t="str">
        <f t="shared" si="680"/>
        <v>х</v>
      </c>
      <c r="BC422" s="5" t="str">
        <f t="shared" si="680"/>
        <v>х</v>
      </c>
      <c r="BD422" s="5" t="str">
        <f t="shared" si="680"/>
        <v>х</v>
      </c>
      <c r="BE422" s="5" t="str">
        <f t="shared" si="680"/>
        <v>х</v>
      </c>
      <c r="BF422" s="5" t="str">
        <f t="shared" si="680"/>
        <v>х</v>
      </c>
      <c r="BG422" s="5" t="str">
        <f>""</f>
        <v/>
      </c>
      <c r="BH422" s="5" t="str">
        <f>"35,00"</f>
        <v>35,00</v>
      </c>
      <c r="BI422" s="5" t="str">
        <f>"2025"</f>
        <v>2025</v>
      </c>
      <c r="BJ422" s="5" t="str">
        <f t="shared" si="672"/>
        <v>нет</v>
      </c>
      <c r="BK422" s="5" t="str">
        <f>""</f>
        <v/>
      </c>
      <c r="BL422" s="5" t="str">
        <f>""</f>
        <v/>
      </c>
      <c r="BM422" s="5" t="str">
        <f>""</f>
        <v/>
      </c>
      <c r="BN422" s="5" t="str">
        <f t="shared" si="673"/>
        <v>нет</v>
      </c>
      <c r="BO422" s="5" t="str">
        <f>""</f>
        <v/>
      </c>
      <c r="BP422" s="5" t="str">
        <f>""</f>
        <v/>
      </c>
      <c r="BQ422" s="5" t="str">
        <f>""</f>
        <v/>
      </c>
      <c r="BR422" s="5" t="str">
        <f>""</f>
        <v/>
      </c>
      <c r="BS422" s="5" t="str">
        <f>"48,00"</f>
        <v>48,00</v>
      </c>
      <c r="BT422" s="5" t="str">
        <f>"2017"</f>
        <v>2017</v>
      </c>
      <c r="BU422" s="5" t="str">
        <f t="shared" si="633"/>
        <v>нет</v>
      </c>
      <c r="BV422" s="5" t="str">
        <f t="shared" si="683"/>
        <v>x</v>
      </c>
      <c r="BW422" s="5" t="str">
        <f t="shared" si="683"/>
        <v>x</v>
      </c>
      <c r="BX422" s="5" t="str">
        <f t="shared" si="683"/>
        <v>x</v>
      </c>
      <c r="BY422" s="5" t="str">
        <f t="shared" si="674"/>
        <v>нет</v>
      </c>
      <c r="BZ422" s="5" t="str">
        <f t="shared" si="681"/>
        <v>x</v>
      </c>
      <c r="CA422" s="5" t="str">
        <f t="shared" si="682"/>
        <v>x</v>
      </c>
      <c r="CB422" s="5" t="str">
        <f t="shared" si="682"/>
        <v>x</v>
      </c>
      <c r="CC422" s="5" t="str">
        <f>""</f>
        <v/>
      </c>
      <c r="CD422" s="5" t="str">
        <f>"48,00"</f>
        <v>48,00</v>
      </c>
      <c r="CE422" s="5" t="str">
        <f>"2018"</f>
        <v>2018</v>
      </c>
      <c r="CF422" s="5" t="str">
        <f>""</f>
        <v/>
      </c>
      <c r="CG422" s="5" t="str">
        <f>"35,00"</f>
        <v>35,00</v>
      </c>
      <c r="CH422" s="5" t="str">
        <f>"2022"</f>
        <v>2022</v>
      </c>
      <c r="CI422" s="5" t="str">
        <f>"42,00"</f>
        <v>42,00</v>
      </c>
      <c r="CJ422" s="5" t="str">
        <f>"2041"</f>
        <v>2041</v>
      </c>
    </row>
    <row r="423" spans="1:88" ht="11.25" customHeight="1">
      <c r="A423" s="3" t="str">
        <f>"1.410"</f>
        <v>1.410</v>
      </c>
      <c r="B423" s="4" t="str">
        <f>"д. Юрово, ул. Школьная, д.7"</f>
        <v>д. Юрово, ул. Школьная, д.7</v>
      </c>
      <c r="C423" s="7" t="str">
        <f>"1982"</f>
        <v>1982</v>
      </c>
      <c r="D423" s="5" t="str">
        <f>""</f>
        <v/>
      </c>
      <c r="E423" s="5" t="str">
        <f>"30,00"</f>
        <v>30,00</v>
      </c>
      <c r="F423" s="5" t="str">
        <f>"2028"</f>
        <v>2028</v>
      </c>
      <c r="G423" s="5" t="str">
        <f t="shared" si="662"/>
        <v>да</v>
      </c>
      <c r="H423" s="5" t="str">
        <f>""</f>
        <v/>
      </c>
      <c r="I423" s="5" t="str">
        <f>"15,00"</f>
        <v>15,00</v>
      </c>
      <c r="J423" s="5" t="str">
        <f>"2028"</f>
        <v>2028</v>
      </c>
      <c r="K423" s="5" t="str">
        <f t="shared" si="663"/>
        <v>да</v>
      </c>
      <c r="L423" s="5" t="str">
        <f>""</f>
        <v/>
      </c>
      <c r="M423" s="5" t="str">
        <f>"46,00"</f>
        <v>46,00</v>
      </c>
      <c r="N423" s="5" t="str">
        <f>"2019"</f>
        <v>2019</v>
      </c>
      <c r="O423" s="8" t="str">
        <f>""</f>
        <v/>
      </c>
      <c r="P423" s="5" t="str">
        <f>"20,00"</f>
        <v>20,00</v>
      </c>
      <c r="Q423" s="5" t="str">
        <f>"2031"</f>
        <v>2031</v>
      </c>
      <c r="R423" s="5" t="str">
        <f t="shared" si="676"/>
        <v>нет</v>
      </c>
      <c r="S423" s="5" t="str">
        <f>""</f>
        <v/>
      </c>
      <c r="T423" s="5" t="str">
        <f>""</f>
        <v/>
      </c>
      <c r="U423" s="5" t="str">
        <f>""</f>
        <v/>
      </c>
      <c r="V423" s="5" t="str">
        <f t="shared" si="677"/>
        <v>нет</v>
      </c>
      <c r="W423" s="5" t="str">
        <f>""</f>
        <v/>
      </c>
      <c r="X423" s="5" t="str">
        <f>""</f>
        <v/>
      </c>
      <c r="Y423" s="9" t="str">
        <f>""</f>
        <v/>
      </c>
      <c r="Z423" s="5" t="str">
        <f>""</f>
        <v/>
      </c>
      <c r="AA423" s="5" t="str">
        <f>"10,00"</f>
        <v>10,00</v>
      </c>
      <c r="AB423" s="5" t="str">
        <f>"2036"</f>
        <v>2036</v>
      </c>
      <c r="AC423" s="5" t="str">
        <f t="shared" si="666"/>
        <v>нет</v>
      </c>
      <c r="AD423" s="5" t="str">
        <f>""</f>
        <v/>
      </c>
      <c r="AE423" s="5" t="str">
        <f>""</f>
        <v/>
      </c>
      <c r="AF423" s="5" t="str">
        <f>""</f>
        <v/>
      </c>
      <c r="AG423" s="5" t="str">
        <f t="shared" si="667"/>
        <v>нет</v>
      </c>
      <c r="AH423" s="5" t="str">
        <f>""</f>
        <v/>
      </c>
      <c r="AI423" s="5" t="str">
        <f>""</f>
        <v/>
      </c>
      <c r="AJ423" s="5" t="str">
        <f>""</f>
        <v/>
      </c>
      <c r="AK423" s="8" t="str">
        <f>""</f>
        <v/>
      </c>
      <c r="AL423" s="5" t="str">
        <f>"30,00"</f>
        <v>30,00</v>
      </c>
      <c r="AM423" s="5" t="str">
        <f>"2026"</f>
        <v>2026</v>
      </c>
      <c r="AN423" s="5" t="str">
        <f t="shared" si="678"/>
        <v>нет</v>
      </c>
      <c r="AO423" s="5" t="str">
        <f>""</f>
        <v/>
      </c>
      <c r="AP423" s="5" t="str">
        <f>""</f>
        <v/>
      </c>
      <c r="AQ423" s="5" t="str">
        <f>""</f>
        <v/>
      </c>
      <c r="AR423" s="5" t="str">
        <f t="shared" si="679"/>
        <v>нет</v>
      </c>
      <c r="AS423" s="5" t="str">
        <f>""</f>
        <v/>
      </c>
      <c r="AT423" s="5" t="str">
        <f>""</f>
        <v/>
      </c>
      <c r="AU423" s="5" t="str">
        <f>""</f>
        <v/>
      </c>
      <c r="AV423" s="5" t="str">
        <f t="shared" si="680"/>
        <v>х</v>
      </c>
      <c r="AW423" s="5" t="str">
        <f t="shared" si="680"/>
        <v>х</v>
      </c>
      <c r="AX423" s="5" t="str">
        <f t="shared" si="680"/>
        <v>х</v>
      </c>
      <c r="AY423" s="5" t="str">
        <f t="shared" si="680"/>
        <v>х</v>
      </c>
      <c r="AZ423" s="5" t="str">
        <f t="shared" si="680"/>
        <v>х</v>
      </c>
      <c r="BA423" s="5" t="str">
        <f t="shared" si="680"/>
        <v>х</v>
      </c>
      <c r="BB423" s="5" t="str">
        <f t="shared" si="680"/>
        <v>х</v>
      </c>
      <c r="BC423" s="5" t="str">
        <f t="shared" si="680"/>
        <v>х</v>
      </c>
      <c r="BD423" s="5" t="str">
        <f t="shared" si="680"/>
        <v>х</v>
      </c>
      <c r="BE423" s="5" t="str">
        <f t="shared" si="680"/>
        <v>х</v>
      </c>
      <c r="BF423" s="5" t="str">
        <f t="shared" si="680"/>
        <v>х</v>
      </c>
      <c r="BG423" s="5" t="str">
        <f>""</f>
        <v/>
      </c>
      <c r="BH423" s="5" t="str">
        <f>"35,00"</f>
        <v>35,00</v>
      </c>
      <c r="BI423" s="5" t="str">
        <f>"2025"</f>
        <v>2025</v>
      </c>
      <c r="BJ423" s="5" t="str">
        <f t="shared" si="672"/>
        <v>нет</v>
      </c>
      <c r="BK423" s="5" t="str">
        <f>""</f>
        <v/>
      </c>
      <c r="BL423" s="5" t="str">
        <f>""</f>
        <v/>
      </c>
      <c r="BM423" s="5" t="str">
        <f>""</f>
        <v/>
      </c>
      <c r="BN423" s="5" t="str">
        <f t="shared" si="673"/>
        <v>нет</v>
      </c>
      <c r="BO423" s="5" t="str">
        <f>""</f>
        <v/>
      </c>
      <c r="BP423" s="5" t="str">
        <f>""</f>
        <v/>
      </c>
      <c r="BQ423" s="5" t="str">
        <f>""</f>
        <v/>
      </c>
      <c r="BR423" s="5" t="str">
        <f>"2009"</f>
        <v>2009</v>
      </c>
      <c r="BS423" s="5" t="str">
        <f>"30,00"</f>
        <v>30,00</v>
      </c>
      <c r="BT423" s="5" t="str">
        <f>"2019"</f>
        <v>2019</v>
      </c>
      <c r="BU423" s="5" t="str">
        <f t="shared" si="633"/>
        <v>нет</v>
      </c>
      <c r="BV423" s="5" t="str">
        <f t="shared" si="683"/>
        <v>x</v>
      </c>
      <c r="BW423" s="5" t="str">
        <f t="shared" si="683"/>
        <v>x</v>
      </c>
      <c r="BX423" s="5" t="str">
        <f t="shared" si="683"/>
        <v>x</v>
      </c>
      <c r="BY423" s="5" t="str">
        <f t="shared" si="674"/>
        <v>нет</v>
      </c>
      <c r="BZ423" s="5" t="str">
        <f t="shared" si="681"/>
        <v>x</v>
      </c>
      <c r="CA423" s="5" t="str">
        <f t="shared" si="682"/>
        <v>x</v>
      </c>
      <c r="CB423" s="5" t="str">
        <f t="shared" si="682"/>
        <v>x</v>
      </c>
      <c r="CC423" s="5" t="str">
        <f>""</f>
        <v/>
      </c>
      <c r="CD423" s="5" t="str">
        <f>"20,00"</f>
        <v>20,00</v>
      </c>
      <c r="CE423" s="5" t="str">
        <f>"2030"</f>
        <v>2030</v>
      </c>
      <c r="CF423" s="5" t="str">
        <f>""</f>
        <v/>
      </c>
      <c r="CG423" s="5" t="str">
        <f>"18,00"</f>
        <v>18,00</v>
      </c>
      <c r="CH423" s="5" t="str">
        <f>"2032"</f>
        <v>2032</v>
      </c>
      <c r="CI423" s="5" t="str">
        <f>"26,00"</f>
        <v>26,00</v>
      </c>
      <c r="CJ423" s="5" t="str">
        <f>"2042"</f>
        <v>2042</v>
      </c>
    </row>
    <row r="424" spans="1:88" ht="11.25" customHeight="1">
      <c r="A424" s="3" t="str">
        <f>"1.411"</f>
        <v>1.411</v>
      </c>
      <c r="B424" s="4" t="str">
        <f>"д. Юрово, ул. Школьная, д.7А"</f>
        <v>д. Юрово, ул. Школьная, д.7А</v>
      </c>
      <c r="C424" s="7" t="str">
        <f>"1982"</f>
        <v>1982</v>
      </c>
      <c r="D424" s="5" t="str">
        <f>""</f>
        <v/>
      </c>
      <c r="E424" s="5" t="str">
        <f>"30,00"</f>
        <v>30,00</v>
      </c>
      <c r="F424" s="5" t="str">
        <f>"2024"</f>
        <v>2024</v>
      </c>
      <c r="G424" s="5" t="str">
        <f t="shared" si="662"/>
        <v>да</v>
      </c>
      <c r="H424" s="5" t="str">
        <f>""</f>
        <v/>
      </c>
      <c r="I424" s="5" t="str">
        <f>"25,00"</f>
        <v>25,00</v>
      </c>
      <c r="J424" s="5" t="str">
        <f>"2024"</f>
        <v>2024</v>
      </c>
      <c r="K424" s="5" t="str">
        <f t="shared" si="663"/>
        <v>да</v>
      </c>
      <c r="L424" s="5" t="str">
        <f>""</f>
        <v/>
      </c>
      <c r="M424" s="5" t="str">
        <f>"47,00"</f>
        <v>47,00</v>
      </c>
      <c r="N424" s="5" t="str">
        <f>"2019"</f>
        <v>2019</v>
      </c>
      <c r="O424" s="8" t="str">
        <f>""</f>
        <v/>
      </c>
      <c r="P424" s="5" t="str">
        <f>"25,00"</f>
        <v>25,00</v>
      </c>
      <c r="Q424" s="5" t="str">
        <f>"2030"</f>
        <v>2030</v>
      </c>
      <c r="R424" s="5" t="str">
        <f t="shared" si="676"/>
        <v>нет</v>
      </c>
      <c r="S424" s="5" t="str">
        <f>""</f>
        <v/>
      </c>
      <c r="T424" s="5" t="str">
        <f>""</f>
        <v/>
      </c>
      <c r="U424" s="5" t="str">
        <f>""</f>
        <v/>
      </c>
      <c r="V424" s="5" t="str">
        <f t="shared" si="677"/>
        <v>нет</v>
      </c>
      <c r="W424" s="5" t="str">
        <f>""</f>
        <v/>
      </c>
      <c r="X424" s="5" t="str">
        <f>""</f>
        <v/>
      </c>
      <c r="Y424" s="9" t="str">
        <f>""</f>
        <v/>
      </c>
      <c r="Z424" s="5" t="str">
        <f>""</f>
        <v/>
      </c>
      <c r="AA424" s="5" t="str">
        <f>"15,00"</f>
        <v>15,00</v>
      </c>
      <c r="AB424" s="5" t="str">
        <f>"2032"</f>
        <v>2032</v>
      </c>
      <c r="AC424" s="5" t="str">
        <f t="shared" si="666"/>
        <v>нет</v>
      </c>
      <c r="AD424" s="5" t="str">
        <f>""</f>
        <v/>
      </c>
      <c r="AE424" s="5" t="str">
        <f>""</f>
        <v/>
      </c>
      <c r="AF424" s="5" t="str">
        <f>""</f>
        <v/>
      </c>
      <c r="AG424" s="5" t="str">
        <f t="shared" si="667"/>
        <v>нет</v>
      </c>
      <c r="AH424" s="5" t="str">
        <f>""</f>
        <v/>
      </c>
      <c r="AI424" s="5" t="str">
        <f>""</f>
        <v/>
      </c>
      <c r="AJ424" s="5" t="str">
        <f>""</f>
        <v/>
      </c>
      <c r="AK424" s="8" t="str">
        <f>""</f>
        <v/>
      </c>
      <c r="AL424" s="5" t="str">
        <f>"28,00"</f>
        <v>28,00</v>
      </c>
      <c r="AM424" s="5" t="str">
        <f>"2028"</f>
        <v>2028</v>
      </c>
      <c r="AN424" s="5" t="str">
        <f t="shared" si="678"/>
        <v>нет</v>
      </c>
      <c r="AO424" s="5" t="str">
        <f>""</f>
        <v/>
      </c>
      <c r="AP424" s="5" t="str">
        <f>""</f>
        <v/>
      </c>
      <c r="AQ424" s="5" t="str">
        <f>""</f>
        <v/>
      </c>
      <c r="AR424" s="5" t="str">
        <f t="shared" si="679"/>
        <v>нет</v>
      </c>
      <c r="AS424" s="5" t="str">
        <f>""</f>
        <v/>
      </c>
      <c r="AT424" s="5" t="str">
        <f>""</f>
        <v/>
      </c>
      <c r="AU424" s="5" t="str">
        <f>""</f>
        <v/>
      </c>
      <c r="AV424" s="5" t="str">
        <f t="shared" si="680"/>
        <v>х</v>
      </c>
      <c r="AW424" s="5" t="str">
        <f t="shared" si="680"/>
        <v>х</v>
      </c>
      <c r="AX424" s="5" t="str">
        <f t="shared" si="680"/>
        <v>х</v>
      </c>
      <c r="AY424" s="5" t="str">
        <f t="shared" si="680"/>
        <v>х</v>
      </c>
      <c r="AZ424" s="5" t="str">
        <f t="shared" si="680"/>
        <v>х</v>
      </c>
      <c r="BA424" s="5" t="str">
        <f t="shared" si="680"/>
        <v>х</v>
      </c>
      <c r="BB424" s="5" t="str">
        <f t="shared" si="680"/>
        <v>х</v>
      </c>
      <c r="BC424" s="5" t="str">
        <f t="shared" si="680"/>
        <v>х</v>
      </c>
      <c r="BD424" s="5" t="str">
        <f t="shared" si="680"/>
        <v>х</v>
      </c>
      <c r="BE424" s="5" t="str">
        <f t="shared" si="680"/>
        <v>х</v>
      </c>
      <c r="BF424" s="5" t="str">
        <f t="shared" si="680"/>
        <v>х</v>
      </c>
      <c r="BG424" s="5" t="str">
        <f>""</f>
        <v/>
      </c>
      <c r="BH424" s="5" t="str">
        <f>"35,00"</f>
        <v>35,00</v>
      </c>
      <c r="BI424" s="5" t="str">
        <f>"2024"</f>
        <v>2024</v>
      </c>
      <c r="BJ424" s="5" t="str">
        <f t="shared" si="672"/>
        <v>нет</v>
      </c>
      <c r="BK424" s="5" t="str">
        <f>""</f>
        <v/>
      </c>
      <c r="BL424" s="5" t="str">
        <f>""</f>
        <v/>
      </c>
      <c r="BM424" s="5" t="str">
        <f>""</f>
        <v/>
      </c>
      <c r="BN424" s="5" t="str">
        <f t="shared" si="673"/>
        <v>нет</v>
      </c>
      <c r="BO424" s="5" t="str">
        <f>""</f>
        <v/>
      </c>
      <c r="BP424" s="5" t="str">
        <f>""</f>
        <v/>
      </c>
      <c r="BQ424" s="5" t="str">
        <f>""</f>
        <v/>
      </c>
      <c r="BR424" s="5" t="str">
        <f>""</f>
        <v/>
      </c>
      <c r="BS424" s="5" t="str">
        <f>"27,00"</f>
        <v>27,00</v>
      </c>
      <c r="BT424" s="5" t="str">
        <f>"2020"</f>
        <v>2020</v>
      </c>
      <c r="BU424" s="5" t="str">
        <f t="shared" si="633"/>
        <v>нет</v>
      </c>
      <c r="BV424" s="5" t="str">
        <f t="shared" si="683"/>
        <v>x</v>
      </c>
      <c r="BW424" s="5" t="str">
        <f t="shared" si="683"/>
        <v>x</v>
      </c>
      <c r="BX424" s="5" t="str">
        <f t="shared" si="683"/>
        <v>x</v>
      </c>
      <c r="BY424" s="5" t="str">
        <f t="shared" si="674"/>
        <v>нет</v>
      </c>
      <c r="BZ424" s="5" t="str">
        <f t="shared" si="681"/>
        <v>x</v>
      </c>
      <c r="CA424" s="5" t="str">
        <f t="shared" si="682"/>
        <v>x</v>
      </c>
      <c r="CB424" s="5" t="str">
        <f t="shared" si="682"/>
        <v>x</v>
      </c>
      <c r="CC424" s="5" t="str">
        <f>""</f>
        <v/>
      </c>
      <c r="CD424" s="5" t="str">
        <f>"20,00"</f>
        <v>20,00</v>
      </c>
      <c r="CE424" s="5" t="str">
        <f>"2032"</f>
        <v>2032</v>
      </c>
      <c r="CF424" s="5" t="str">
        <f>""</f>
        <v/>
      </c>
      <c r="CG424" s="5" t="str">
        <f>"18,00"</f>
        <v>18,00</v>
      </c>
      <c r="CH424" s="5" t="str">
        <f>"2034"</f>
        <v>2034</v>
      </c>
      <c r="CI424" s="5" t="str">
        <f>"27,00"</f>
        <v>27,00</v>
      </c>
      <c r="CJ424" s="5" t="str">
        <f>"2042"</f>
        <v>2042</v>
      </c>
    </row>
    <row r="425" spans="1:88" ht="11.25" customHeight="1">
      <c r="A425" s="3" t="str">
        <f>"1.412"</f>
        <v>1.412</v>
      </c>
      <c r="B425" s="4" t="str">
        <f>"д. Юрово, ул. Школьная, д.7Б"</f>
        <v>д. Юрово, ул. Школьная, д.7Б</v>
      </c>
      <c r="C425" s="7" t="str">
        <f>"2008"</f>
        <v>2008</v>
      </c>
      <c r="D425" s="5" t="str">
        <f>""</f>
        <v/>
      </c>
      <c r="E425" s="5" t="str">
        <f>"12,00"</f>
        <v>12,00</v>
      </c>
      <c r="F425" s="5" t="str">
        <f>"2033"</f>
        <v>2033</v>
      </c>
      <c r="G425" s="5" t="str">
        <f t="shared" si="662"/>
        <v>да</v>
      </c>
      <c r="H425" s="5" t="str">
        <f>""</f>
        <v/>
      </c>
      <c r="I425" s="5" t="str">
        <f>"10,00"</f>
        <v>10,00</v>
      </c>
      <c r="J425" s="5" t="str">
        <f>"2033"</f>
        <v>2033</v>
      </c>
      <c r="K425" s="5" t="str">
        <f t="shared" si="663"/>
        <v>да</v>
      </c>
      <c r="L425" s="5" t="str">
        <f>""</f>
        <v/>
      </c>
      <c r="M425" s="5" t="str">
        <f>"10,00"</f>
        <v>10,00</v>
      </c>
      <c r="N425" s="5" t="str">
        <f>"2030"</f>
        <v>2030</v>
      </c>
      <c r="O425" s="8" t="str">
        <f>""</f>
        <v/>
      </c>
      <c r="P425" s="5" t="str">
        <f>"14,00"</f>
        <v>14,00</v>
      </c>
      <c r="Q425" s="5" t="str">
        <f>"2032"</f>
        <v>2032</v>
      </c>
      <c r="R425" s="5" t="str">
        <f t="shared" si="676"/>
        <v>нет</v>
      </c>
      <c r="S425" s="5" t="str">
        <f>""</f>
        <v/>
      </c>
      <c r="T425" s="5" t="str">
        <f>""</f>
        <v/>
      </c>
      <c r="U425" s="5" t="str">
        <f>""</f>
        <v/>
      </c>
      <c r="V425" s="5" t="str">
        <f t="shared" si="677"/>
        <v>нет</v>
      </c>
      <c r="W425" s="5" t="str">
        <f>""</f>
        <v/>
      </c>
      <c r="X425" s="5" t="str">
        <f>""</f>
        <v/>
      </c>
      <c r="Y425" s="9" t="str">
        <f>""</f>
        <v/>
      </c>
      <c r="Z425" s="5" t="str">
        <f>""</f>
        <v/>
      </c>
      <c r="AA425" s="5" t="str">
        <f>"10,00"</f>
        <v>10,00</v>
      </c>
      <c r="AB425" s="5" t="str">
        <f>"2034"</f>
        <v>2034</v>
      </c>
      <c r="AC425" s="5" t="str">
        <f t="shared" si="666"/>
        <v>нет</v>
      </c>
      <c r="AD425" s="5" t="str">
        <f>""</f>
        <v/>
      </c>
      <c r="AE425" s="5" t="str">
        <f>""</f>
        <v/>
      </c>
      <c r="AF425" s="5" t="str">
        <f>""</f>
        <v/>
      </c>
      <c r="AG425" s="5" t="str">
        <f t="shared" si="667"/>
        <v>нет</v>
      </c>
      <c r="AH425" s="5" t="str">
        <f>""</f>
        <v/>
      </c>
      <c r="AI425" s="5" t="str">
        <f>""</f>
        <v/>
      </c>
      <c r="AJ425" s="5" t="str">
        <f>""</f>
        <v/>
      </c>
      <c r="AK425" s="8" t="str">
        <f>""</f>
        <v/>
      </c>
      <c r="AL425" s="5" t="str">
        <f>"15,00"</f>
        <v>15,00</v>
      </c>
      <c r="AM425" s="5" t="str">
        <f>"2030"</f>
        <v>2030</v>
      </c>
      <c r="AN425" s="5" t="str">
        <f t="shared" si="678"/>
        <v>нет</v>
      </c>
      <c r="AO425" s="5" t="str">
        <f>""</f>
        <v/>
      </c>
      <c r="AP425" s="5" t="str">
        <f>""</f>
        <v/>
      </c>
      <c r="AQ425" s="5" t="str">
        <f>""</f>
        <v/>
      </c>
      <c r="AR425" s="5" t="str">
        <f t="shared" si="679"/>
        <v>нет</v>
      </c>
      <c r="AS425" s="5" t="str">
        <f>""</f>
        <v/>
      </c>
      <c r="AT425" s="5" t="str">
        <f>""</f>
        <v/>
      </c>
      <c r="AU425" s="5" t="str">
        <f>""</f>
        <v/>
      </c>
      <c r="AV425" s="5" t="str">
        <f t="shared" si="680"/>
        <v>х</v>
      </c>
      <c r="AW425" s="5" t="str">
        <f t="shared" si="680"/>
        <v>х</v>
      </c>
      <c r="AX425" s="5" t="str">
        <f t="shared" si="680"/>
        <v>х</v>
      </c>
      <c r="AY425" s="5" t="str">
        <f t="shared" si="680"/>
        <v>х</v>
      </c>
      <c r="AZ425" s="5" t="str">
        <f t="shared" si="680"/>
        <v>х</v>
      </c>
      <c r="BA425" s="5" t="str">
        <f t="shared" si="680"/>
        <v>х</v>
      </c>
      <c r="BB425" s="5" t="str">
        <f t="shared" si="680"/>
        <v>х</v>
      </c>
      <c r="BC425" s="5" t="str">
        <f t="shared" si="680"/>
        <v>х</v>
      </c>
      <c r="BD425" s="5" t="str">
        <f t="shared" si="680"/>
        <v>х</v>
      </c>
      <c r="BE425" s="5" t="str">
        <f t="shared" si="680"/>
        <v>х</v>
      </c>
      <c r="BF425" s="5" t="str">
        <f t="shared" si="680"/>
        <v>х</v>
      </c>
      <c r="BG425" s="5" t="str">
        <f>""</f>
        <v/>
      </c>
      <c r="BH425" s="5" t="str">
        <f>"15,00"</f>
        <v>15,00</v>
      </c>
      <c r="BI425" s="5" t="str">
        <f>"2031"</f>
        <v>2031</v>
      </c>
      <c r="BJ425" s="5" t="str">
        <f t="shared" si="672"/>
        <v>нет</v>
      </c>
      <c r="BK425" s="5" t="str">
        <f>""</f>
        <v/>
      </c>
      <c r="BL425" s="5" t="str">
        <f>""</f>
        <v/>
      </c>
      <c r="BM425" s="5" t="str">
        <f>""</f>
        <v/>
      </c>
      <c r="BN425" s="5" t="str">
        <f t="shared" si="673"/>
        <v>нет</v>
      </c>
      <c r="BO425" s="5" t="str">
        <f>""</f>
        <v/>
      </c>
      <c r="BP425" s="5" t="str">
        <f>""</f>
        <v/>
      </c>
      <c r="BQ425" s="5" t="str">
        <f>""</f>
        <v/>
      </c>
      <c r="BR425" s="5" t="str">
        <f>""</f>
        <v/>
      </c>
      <c r="BS425" s="5" t="str">
        <f>"10,00"</f>
        <v>10,00</v>
      </c>
      <c r="BT425" s="5" t="str">
        <f>"2030"</f>
        <v>2030</v>
      </c>
      <c r="BU425" s="5" t="str">
        <f t="shared" si="633"/>
        <v>нет</v>
      </c>
      <c r="BV425" s="5" t="str">
        <f t="shared" si="683"/>
        <v>x</v>
      </c>
      <c r="BW425" s="5" t="str">
        <f t="shared" si="683"/>
        <v>x</v>
      </c>
      <c r="BX425" s="5" t="str">
        <f t="shared" si="683"/>
        <v>x</v>
      </c>
      <c r="BY425" s="5" t="str">
        <f t="shared" si="674"/>
        <v>нет</v>
      </c>
      <c r="BZ425" s="5" t="str">
        <f t="shared" si="681"/>
        <v>x</v>
      </c>
      <c r="CA425" s="5" t="str">
        <f t="shared" si="682"/>
        <v>x</v>
      </c>
      <c r="CB425" s="5" t="str">
        <f t="shared" si="682"/>
        <v>x</v>
      </c>
      <c r="CC425" s="5" t="str">
        <f>""</f>
        <v/>
      </c>
      <c r="CD425" s="5" t="str">
        <f>"10,00"</f>
        <v>10,00</v>
      </c>
      <c r="CE425" s="5" t="str">
        <f>"2035"</f>
        <v>2035</v>
      </c>
      <c r="CF425" s="5" t="str">
        <f>""</f>
        <v/>
      </c>
      <c r="CG425" s="5" t="str">
        <f>"10,00"</f>
        <v>10,00</v>
      </c>
      <c r="CH425" s="5" t="str">
        <f>"2037"</f>
        <v>2037</v>
      </c>
      <c r="CI425" s="5" t="str">
        <f>"10,00"</f>
        <v>10,00</v>
      </c>
      <c r="CJ425" s="5" t="str">
        <f>"2043"</f>
        <v>2043</v>
      </c>
    </row>
    <row r="426" spans="1:88" ht="11.25" customHeight="1">
      <c r="A426" s="3" t="str">
        <f>"1.413"</f>
        <v>1.413</v>
      </c>
      <c r="B426" s="4" t="str">
        <f>"д. Юрово, ул. Школьная, д.9"</f>
        <v>д. Юрово, ул. Школьная, д.9</v>
      </c>
      <c r="C426" s="7" t="str">
        <f>"1992"</f>
        <v>1992</v>
      </c>
      <c r="D426" s="5" t="str">
        <f>""</f>
        <v/>
      </c>
      <c r="E426" s="5" t="str">
        <f>"30,00"</f>
        <v>30,00</v>
      </c>
      <c r="F426" s="5" t="str">
        <f>"2030"</f>
        <v>2030</v>
      </c>
      <c r="G426" s="5" t="str">
        <f t="shared" si="662"/>
        <v>да</v>
      </c>
      <c r="H426" s="5" t="str">
        <f>""</f>
        <v/>
      </c>
      <c r="I426" s="5" t="str">
        <f>"20,00"</f>
        <v>20,00</v>
      </c>
      <c r="J426" s="5" t="str">
        <f>"2030"</f>
        <v>2030</v>
      </c>
      <c r="K426" s="5" t="str">
        <f t="shared" si="663"/>
        <v>да</v>
      </c>
      <c r="L426" s="5" t="str">
        <f>""</f>
        <v/>
      </c>
      <c r="M426" s="5" t="str">
        <f>"56,00"</f>
        <v>56,00</v>
      </c>
      <c r="N426" s="5" t="str">
        <f>"2020"</f>
        <v>2020</v>
      </c>
      <c r="O426" s="8" t="str">
        <f>""</f>
        <v/>
      </c>
      <c r="P426" s="5" t="str">
        <f>"20,00"</f>
        <v>20,00</v>
      </c>
      <c r="Q426" s="5" t="str">
        <f>"2033"</f>
        <v>2033</v>
      </c>
      <c r="R426" s="5" t="str">
        <f t="shared" si="676"/>
        <v>нет</v>
      </c>
      <c r="S426" s="5" t="str">
        <f>""</f>
        <v/>
      </c>
      <c r="T426" s="5" t="str">
        <f>""</f>
        <v/>
      </c>
      <c r="U426" s="5" t="str">
        <f>""</f>
        <v/>
      </c>
      <c r="V426" s="5" t="str">
        <f t="shared" si="677"/>
        <v>нет</v>
      </c>
      <c r="W426" s="5" t="str">
        <f>""</f>
        <v/>
      </c>
      <c r="X426" s="5" t="str">
        <f>""</f>
        <v/>
      </c>
      <c r="Y426" s="9" t="str">
        <f>""</f>
        <v/>
      </c>
      <c r="Z426" s="5" t="str">
        <f>""</f>
        <v/>
      </c>
      <c r="AA426" s="5" t="str">
        <f>"18,00"</f>
        <v>18,00</v>
      </c>
      <c r="AB426" s="5" t="str">
        <f>"2036"</f>
        <v>2036</v>
      </c>
      <c r="AC426" s="5" t="str">
        <f t="shared" si="666"/>
        <v>нет</v>
      </c>
      <c r="AD426" s="5" t="str">
        <f>""</f>
        <v/>
      </c>
      <c r="AE426" s="5" t="str">
        <f>""</f>
        <v/>
      </c>
      <c r="AF426" s="5" t="str">
        <f>""</f>
        <v/>
      </c>
      <c r="AG426" s="5" t="str">
        <f t="shared" si="667"/>
        <v>нет</v>
      </c>
      <c r="AH426" s="5" t="str">
        <f>""</f>
        <v/>
      </c>
      <c r="AI426" s="5" t="str">
        <f>""</f>
        <v/>
      </c>
      <c r="AJ426" s="5" t="str">
        <f>""</f>
        <v/>
      </c>
      <c r="AK426" s="8" t="str">
        <f>""</f>
        <v/>
      </c>
      <c r="AL426" s="5" t="str">
        <f>"25,00"</f>
        <v>25,00</v>
      </c>
      <c r="AM426" s="5" t="str">
        <f>"2029"</f>
        <v>2029</v>
      </c>
      <c r="AN426" s="5" t="str">
        <f t="shared" si="678"/>
        <v>нет</v>
      </c>
      <c r="AO426" s="5" t="str">
        <f>""</f>
        <v/>
      </c>
      <c r="AP426" s="5" t="str">
        <f>""</f>
        <v/>
      </c>
      <c r="AQ426" s="5" t="str">
        <f>""</f>
        <v/>
      </c>
      <c r="AR426" s="5" t="str">
        <f t="shared" si="679"/>
        <v>нет</v>
      </c>
      <c r="AS426" s="5" t="str">
        <f>""</f>
        <v/>
      </c>
      <c r="AT426" s="5" t="str">
        <f>""</f>
        <v/>
      </c>
      <c r="AU426" s="5" t="str">
        <f>""</f>
        <v/>
      </c>
      <c r="AV426" s="5" t="str">
        <f t="shared" ref="AV426:BF432" si="684">"х"</f>
        <v>х</v>
      </c>
      <c r="AW426" s="5" t="str">
        <f t="shared" si="684"/>
        <v>х</v>
      </c>
      <c r="AX426" s="5" t="str">
        <f t="shared" si="684"/>
        <v>х</v>
      </c>
      <c r="AY426" s="5" t="str">
        <f t="shared" si="684"/>
        <v>х</v>
      </c>
      <c r="AZ426" s="5" t="str">
        <f t="shared" si="684"/>
        <v>х</v>
      </c>
      <c r="BA426" s="5" t="str">
        <f t="shared" si="684"/>
        <v>х</v>
      </c>
      <c r="BB426" s="5" t="str">
        <f t="shared" si="684"/>
        <v>х</v>
      </c>
      <c r="BC426" s="5" t="str">
        <f t="shared" si="684"/>
        <v>х</v>
      </c>
      <c r="BD426" s="5" t="str">
        <f t="shared" si="684"/>
        <v>х</v>
      </c>
      <c r="BE426" s="5" t="str">
        <f t="shared" si="684"/>
        <v>х</v>
      </c>
      <c r="BF426" s="5" t="str">
        <f t="shared" si="684"/>
        <v>х</v>
      </c>
      <c r="BG426" s="5" t="str">
        <f>""</f>
        <v/>
      </c>
      <c r="BH426" s="5" t="str">
        <f>"22,00"</f>
        <v>22,00</v>
      </c>
      <c r="BI426" s="5" t="str">
        <f>"2030"</f>
        <v>2030</v>
      </c>
      <c r="BJ426" s="5" t="str">
        <f t="shared" si="672"/>
        <v>нет</v>
      </c>
      <c r="BK426" s="5" t="str">
        <f>""</f>
        <v/>
      </c>
      <c r="BL426" s="5" t="str">
        <f>""</f>
        <v/>
      </c>
      <c r="BM426" s="5" t="str">
        <f>""</f>
        <v/>
      </c>
      <c r="BN426" s="5" t="str">
        <f t="shared" si="673"/>
        <v>нет</v>
      </c>
      <c r="BO426" s="5" t="str">
        <f>""</f>
        <v/>
      </c>
      <c r="BP426" s="5" t="str">
        <f>""</f>
        <v/>
      </c>
      <c r="BQ426" s="5" t="str">
        <f>""</f>
        <v/>
      </c>
      <c r="BR426" s="5" t="str">
        <f>""</f>
        <v/>
      </c>
      <c r="BS426" s="5" t="str">
        <f>"26,00"</f>
        <v>26,00</v>
      </c>
      <c r="BT426" s="5" t="str">
        <f>"2019"</f>
        <v>2019</v>
      </c>
      <c r="BU426" s="5" t="str">
        <f t="shared" si="633"/>
        <v>нет</v>
      </c>
      <c r="BV426" s="5" t="str">
        <f t="shared" si="683"/>
        <v>x</v>
      </c>
      <c r="BW426" s="5" t="str">
        <f t="shared" si="683"/>
        <v>x</v>
      </c>
      <c r="BX426" s="5" t="str">
        <f t="shared" si="683"/>
        <v>x</v>
      </c>
      <c r="BY426" s="5" t="str">
        <f t="shared" si="674"/>
        <v>нет</v>
      </c>
      <c r="BZ426" s="5" t="str">
        <f t="shared" si="681"/>
        <v>x</v>
      </c>
      <c r="CA426" s="5" t="str">
        <f t="shared" si="682"/>
        <v>x</v>
      </c>
      <c r="CB426" s="5" t="str">
        <f t="shared" si="682"/>
        <v>x</v>
      </c>
      <c r="CC426" s="5" t="str">
        <f>""</f>
        <v/>
      </c>
      <c r="CD426" s="5" t="str">
        <f>"20,00"</f>
        <v>20,00</v>
      </c>
      <c r="CE426" s="5" t="str">
        <f>"2032"</f>
        <v>2032</v>
      </c>
      <c r="CF426" s="5" t="str">
        <f>""</f>
        <v/>
      </c>
      <c r="CG426" s="5" t="str">
        <f>"15,00"</f>
        <v>15,00</v>
      </c>
      <c r="CH426" s="5" t="str">
        <f>"2034"</f>
        <v>2034</v>
      </c>
      <c r="CI426" s="5" t="str">
        <f>"26,00"</f>
        <v>26,00</v>
      </c>
      <c r="CJ426" s="5" t="str">
        <f>"2043"</f>
        <v>2043</v>
      </c>
    </row>
    <row r="427" spans="1:88" ht="11.25" customHeight="1">
      <c r="A427" s="3" t="str">
        <f>"1.414"</f>
        <v>1.414</v>
      </c>
      <c r="B427" s="4" t="str">
        <f>"д. Юрово, ул. Школьная, д.9А"</f>
        <v>д. Юрово, ул. Школьная, д.9А</v>
      </c>
      <c r="C427" s="7" t="str">
        <f>"1992"</f>
        <v>1992</v>
      </c>
      <c r="D427" s="5" t="str">
        <f>""</f>
        <v/>
      </c>
      <c r="E427" s="5" t="str">
        <f>"10,00"</f>
        <v>10,00</v>
      </c>
      <c r="F427" s="5" t="str">
        <f>"2038"</f>
        <v>2038</v>
      </c>
      <c r="G427" s="5" t="str">
        <f t="shared" si="662"/>
        <v>да</v>
      </c>
      <c r="H427" s="5" t="str">
        <f>""</f>
        <v/>
      </c>
      <c r="I427" s="5" t="str">
        <f>"12,00"</f>
        <v>12,00</v>
      </c>
      <c r="J427" s="5" t="str">
        <f>"2038"</f>
        <v>2038</v>
      </c>
      <c r="K427" s="5" t="str">
        <f t="shared" si="663"/>
        <v>да</v>
      </c>
      <c r="L427" s="5" t="str">
        <f>""</f>
        <v/>
      </c>
      <c r="M427" s="5" t="str">
        <f>"46,00"</f>
        <v>46,00</v>
      </c>
      <c r="N427" s="5" t="str">
        <f>"2020"</f>
        <v>2020</v>
      </c>
      <c r="O427" s="8" t="str">
        <f>""</f>
        <v/>
      </c>
      <c r="P427" s="5" t="str">
        <f>"15,00"</f>
        <v>15,00</v>
      </c>
      <c r="Q427" s="5" t="str">
        <f>"2032"</f>
        <v>2032</v>
      </c>
      <c r="R427" s="5" t="str">
        <f t="shared" si="676"/>
        <v>нет</v>
      </c>
      <c r="S427" s="5" t="str">
        <f>""</f>
        <v/>
      </c>
      <c r="T427" s="5" t="str">
        <f>""</f>
        <v/>
      </c>
      <c r="U427" s="5" t="str">
        <f>""</f>
        <v/>
      </c>
      <c r="V427" s="5" t="str">
        <f t="shared" si="677"/>
        <v>нет</v>
      </c>
      <c r="W427" s="5" t="str">
        <f>""</f>
        <v/>
      </c>
      <c r="X427" s="5" t="str">
        <f>""</f>
        <v/>
      </c>
      <c r="Y427" s="9" t="str">
        <f>""</f>
        <v/>
      </c>
      <c r="Z427" s="5" t="str">
        <f>""</f>
        <v/>
      </c>
      <c r="AA427" s="5" t="str">
        <f>"5,00"</f>
        <v>5,00</v>
      </c>
      <c r="AB427" s="5" t="str">
        <f>"2040"</f>
        <v>2040</v>
      </c>
      <c r="AC427" s="5" t="str">
        <f t="shared" si="666"/>
        <v>нет</v>
      </c>
      <c r="AD427" s="5" t="str">
        <f>""</f>
        <v/>
      </c>
      <c r="AE427" s="5" t="str">
        <f>""</f>
        <v/>
      </c>
      <c r="AF427" s="5" t="str">
        <f>""</f>
        <v/>
      </c>
      <c r="AG427" s="5" t="str">
        <f t="shared" si="667"/>
        <v>нет</v>
      </c>
      <c r="AH427" s="5" t="str">
        <f>""</f>
        <v/>
      </c>
      <c r="AI427" s="5" t="str">
        <f>""</f>
        <v/>
      </c>
      <c r="AJ427" s="5" t="str">
        <f>""</f>
        <v/>
      </c>
      <c r="AK427" s="8" t="str">
        <f>""</f>
        <v/>
      </c>
      <c r="AL427" s="5" t="str">
        <f>"15,00"</f>
        <v>15,00</v>
      </c>
      <c r="AM427" s="5" t="str">
        <f>"2032"</f>
        <v>2032</v>
      </c>
      <c r="AN427" s="5" t="str">
        <f t="shared" si="678"/>
        <v>нет</v>
      </c>
      <c r="AO427" s="5" t="str">
        <f>""</f>
        <v/>
      </c>
      <c r="AP427" s="5" t="str">
        <f>""</f>
        <v/>
      </c>
      <c r="AQ427" s="5" t="str">
        <f>""</f>
        <v/>
      </c>
      <c r="AR427" s="5" t="str">
        <f t="shared" si="679"/>
        <v>нет</v>
      </c>
      <c r="AS427" s="5" t="str">
        <f>""</f>
        <v/>
      </c>
      <c r="AT427" s="5" t="str">
        <f>""</f>
        <v/>
      </c>
      <c r="AU427" s="5" t="str">
        <f>""</f>
        <v/>
      </c>
      <c r="AV427" s="5" t="str">
        <f t="shared" si="684"/>
        <v>х</v>
      </c>
      <c r="AW427" s="5" t="str">
        <f t="shared" si="684"/>
        <v>х</v>
      </c>
      <c r="AX427" s="5" t="str">
        <f t="shared" si="684"/>
        <v>х</v>
      </c>
      <c r="AY427" s="5" t="str">
        <f t="shared" si="684"/>
        <v>х</v>
      </c>
      <c r="AZ427" s="5" t="str">
        <f t="shared" si="684"/>
        <v>х</v>
      </c>
      <c r="BA427" s="5" t="str">
        <f t="shared" si="684"/>
        <v>х</v>
      </c>
      <c r="BB427" s="5" t="str">
        <f t="shared" si="684"/>
        <v>х</v>
      </c>
      <c r="BC427" s="5" t="str">
        <f t="shared" si="684"/>
        <v>х</v>
      </c>
      <c r="BD427" s="5" t="str">
        <f t="shared" si="684"/>
        <v>х</v>
      </c>
      <c r="BE427" s="5" t="str">
        <f t="shared" si="684"/>
        <v>х</v>
      </c>
      <c r="BF427" s="5" t="str">
        <f t="shared" si="684"/>
        <v>х</v>
      </c>
      <c r="BG427" s="5" t="str">
        <f>""</f>
        <v/>
      </c>
      <c r="BH427" s="5" t="str">
        <f>"15,00"</f>
        <v>15,00</v>
      </c>
      <c r="BI427" s="5" t="str">
        <f>"2034"</f>
        <v>2034</v>
      </c>
      <c r="BJ427" s="5" t="str">
        <f t="shared" si="672"/>
        <v>нет</v>
      </c>
      <c r="BK427" s="5" t="str">
        <f>""</f>
        <v/>
      </c>
      <c r="BL427" s="5" t="str">
        <f>""</f>
        <v/>
      </c>
      <c r="BM427" s="5" t="str">
        <f>""</f>
        <v/>
      </c>
      <c r="BN427" s="5" t="str">
        <f t="shared" si="673"/>
        <v>нет</v>
      </c>
      <c r="BO427" s="5" t="str">
        <f>""</f>
        <v/>
      </c>
      <c r="BP427" s="5" t="str">
        <f>""</f>
        <v/>
      </c>
      <c r="BQ427" s="5" t="str">
        <f>""</f>
        <v/>
      </c>
      <c r="BR427" s="5" t="str">
        <f>""</f>
        <v/>
      </c>
      <c r="BS427" s="5" t="str">
        <f>"26,00"</f>
        <v>26,00</v>
      </c>
      <c r="BT427" s="5" t="str">
        <f>"2020"</f>
        <v>2020</v>
      </c>
      <c r="BU427" s="5" t="str">
        <f t="shared" si="633"/>
        <v>нет</v>
      </c>
      <c r="BV427" s="5" t="str">
        <f t="shared" si="683"/>
        <v>x</v>
      </c>
      <c r="BW427" s="5" t="str">
        <f t="shared" si="683"/>
        <v>x</v>
      </c>
      <c r="BX427" s="5" t="str">
        <f t="shared" si="683"/>
        <v>x</v>
      </c>
      <c r="BY427" s="5" t="str">
        <f t="shared" si="674"/>
        <v>нет</v>
      </c>
      <c r="BZ427" s="5" t="str">
        <f t="shared" si="681"/>
        <v>x</v>
      </c>
      <c r="CA427" s="5" t="str">
        <f t="shared" si="682"/>
        <v>x</v>
      </c>
      <c r="CB427" s="5" t="str">
        <f t="shared" si="682"/>
        <v>x</v>
      </c>
      <c r="CC427" s="5" t="str">
        <f>""</f>
        <v/>
      </c>
      <c r="CD427" s="5" t="str">
        <f>"5,00"</f>
        <v>5,00</v>
      </c>
      <c r="CE427" s="5" t="str">
        <f>"2037"</f>
        <v>2037</v>
      </c>
      <c r="CF427" s="5" t="str">
        <f>""</f>
        <v/>
      </c>
      <c r="CG427" s="5" t="str">
        <f>"3,00"</f>
        <v>3,00</v>
      </c>
      <c r="CH427" s="5" t="str">
        <f>"2038"</f>
        <v>2038</v>
      </c>
      <c r="CI427" s="5" t="str">
        <f>"6,00"</f>
        <v>6,00</v>
      </c>
      <c r="CJ427" s="5" t="str">
        <f>"2044"</f>
        <v>2044</v>
      </c>
    </row>
    <row r="428" spans="1:88" ht="11.25" customHeight="1">
      <c r="A428" s="3" t="str">
        <f>"1.415"</f>
        <v>1.415</v>
      </c>
      <c r="B428" s="4" t="str">
        <f>"ж/д_ст. Стеблево, д.3"</f>
        <v>ж/д_ст. Стеблево, д.3</v>
      </c>
      <c r="C428" s="7" t="str">
        <f>"1985"</f>
        <v>1985</v>
      </c>
      <c r="D428" s="5" t="str">
        <f>"1985"</f>
        <v>1985</v>
      </c>
      <c r="E428" s="5" t="str">
        <f>"50,00"</f>
        <v>50,00</v>
      </c>
      <c r="F428" s="5" t="str">
        <f>"2028"</f>
        <v>2028</v>
      </c>
      <c r="G428" s="5" t="str">
        <f>"нет"</f>
        <v>нет</v>
      </c>
      <c r="H428" s="5" t="str">
        <f>""</f>
        <v/>
      </c>
      <c r="I428" s="5" t="str">
        <f>""</f>
        <v/>
      </c>
      <c r="J428" s="5" t="str">
        <f>""</f>
        <v/>
      </c>
      <c r="K428" s="5" t="str">
        <f>"нет"</f>
        <v>нет</v>
      </c>
      <c r="L428" s="5" t="str">
        <f>""</f>
        <v/>
      </c>
      <c r="M428" s="5" t="str">
        <f>""</f>
        <v/>
      </c>
      <c r="N428" s="5" t="str">
        <f>""</f>
        <v/>
      </c>
      <c r="O428" s="8" t="str">
        <f t="shared" ref="O428:X432" si="685">"х"</f>
        <v>х</v>
      </c>
      <c r="P428" s="5" t="str">
        <f t="shared" si="685"/>
        <v>х</v>
      </c>
      <c r="Q428" s="5" t="str">
        <f t="shared" si="685"/>
        <v>х</v>
      </c>
      <c r="R428" s="5" t="str">
        <f t="shared" si="685"/>
        <v>х</v>
      </c>
      <c r="S428" s="5" t="str">
        <f t="shared" si="685"/>
        <v>х</v>
      </c>
      <c r="T428" s="5" t="str">
        <f t="shared" si="685"/>
        <v>х</v>
      </c>
      <c r="U428" s="5" t="str">
        <f t="shared" si="685"/>
        <v>х</v>
      </c>
      <c r="V428" s="5" t="str">
        <f t="shared" si="685"/>
        <v>х</v>
      </c>
      <c r="W428" s="5" t="str">
        <f t="shared" si="685"/>
        <v>х</v>
      </c>
      <c r="X428" s="5" t="str">
        <f t="shared" si="685"/>
        <v>х</v>
      </c>
      <c r="Y428" s="9" t="str">
        <f t="shared" ref="Y428:AH432" si="686">"х"</f>
        <v>х</v>
      </c>
      <c r="Z428" s="5" t="str">
        <f t="shared" si="686"/>
        <v>х</v>
      </c>
      <c r="AA428" s="5" t="str">
        <f t="shared" si="686"/>
        <v>х</v>
      </c>
      <c r="AB428" s="5" t="str">
        <f t="shared" si="686"/>
        <v>х</v>
      </c>
      <c r="AC428" s="5" t="str">
        <f t="shared" si="686"/>
        <v>х</v>
      </c>
      <c r="AD428" s="5" t="str">
        <f t="shared" si="686"/>
        <v>х</v>
      </c>
      <c r="AE428" s="5" t="str">
        <f t="shared" si="686"/>
        <v>х</v>
      </c>
      <c r="AF428" s="5" t="str">
        <f t="shared" si="686"/>
        <v>х</v>
      </c>
      <c r="AG428" s="5" t="str">
        <f t="shared" si="686"/>
        <v>х</v>
      </c>
      <c r="AH428" s="5" t="str">
        <f t="shared" si="686"/>
        <v>х</v>
      </c>
      <c r="AI428" s="5" t="str">
        <f t="shared" ref="AI428:AU432" si="687">"х"</f>
        <v>х</v>
      </c>
      <c r="AJ428" s="5" t="str">
        <f t="shared" si="687"/>
        <v>х</v>
      </c>
      <c r="AK428" s="8" t="str">
        <f t="shared" si="687"/>
        <v>х</v>
      </c>
      <c r="AL428" s="5" t="str">
        <f t="shared" si="687"/>
        <v>х</v>
      </c>
      <c r="AM428" s="5" t="str">
        <f t="shared" si="687"/>
        <v>х</v>
      </c>
      <c r="AN428" s="5" t="str">
        <f t="shared" si="687"/>
        <v>х</v>
      </c>
      <c r="AO428" s="5" t="str">
        <f t="shared" si="687"/>
        <v>х</v>
      </c>
      <c r="AP428" s="5" t="str">
        <f t="shared" si="687"/>
        <v>х</v>
      </c>
      <c r="AQ428" s="5" t="str">
        <f t="shared" si="687"/>
        <v>х</v>
      </c>
      <c r="AR428" s="5" t="str">
        <f t="shared" si="687"/>
        <v>х</v>
      </c>
      <c r="AS428" s="5" t="str">
        <f t="shared" si="687"/>
        <v>х</v>
      </c>
      <c r="AT428" s="5" t="str">
        <f t="shared" si="687"/>
        <v>х</v>
      </c>
      <c r="AU428" s="5" t="str">
        <f t="shared" si="687"/>
        <v>х</v>
      </c>
      <c r="AV428" s="5" t="str">
        <f t="shared" si="684"/>
        <v>х</v>
      </c>
      <c r="AW428" s="5" t="str">
        <f t="shared" si="684"/>
        <v>х</v>
      </c>
      <c r="AX428" s="5" t="str">
        <f t="shared" si="684"/>
        <v>х</v>
      </c>
      <c r="AY428" s="5" t="str">
        <f t="shared" si="684"/>
        <v>х</v>
      </c>
      <c r="AZ428" s="5" t="str">
        <f t="shared" si="684"/>
        <v>х</v>
      </c>
      <c r="BA428" s="5" t="str">
        <f t="shared" si="684"/>
        <v>х</v>
      </c>
      <c r="BB428" s="5" t="str">
        <f t="shared" si="684"/>
        <v>х</v>
      </c>
      <c r="BC428" s="5" t="str">
        <f t="shared" si="684"/>
        <v>х</v>
      </c>
      <c r="BD428" s="5" t="str">
        <f t="shared" si="684"/>
        <v>х</v>
      </c>
      <c r="BE428" s="5" t="str">
        <f t="shared" si="684"/>
        <v>х</v>
      </c>
      <c r="BF428" s="5" t="str">
        <f t="shared" si="684"/>
        <v>х</v>
      </c>
      <c r="BG428" s="5" t="str">
        <f t="shared" ref="BG428:BQ432" si="688">"х"</f>
        <v>х</v>
      </c>
      <c r="BH428" s="5" t="str">
        <f t="shared" si="688"/>
        <v>х</v>
      </c>
      <c r="BI428" s="5" t="str">
        <f t="shared" si="688"/>
        <v>х</v>
      </c>
      <c r="BJ428" s="5" t="str">
        <f t="shared" si="688"/>
        <v>х</v>
      </c>
      <c r="BK428" s="5" t="str">
        <f t="shared" si="688"/>
        <v>х</v>
      </c>
      <c r="BL428" s="5" t="str">
        <f t="shared" si="688"/>
        <v>х</v>
      </c>
      <c r="BM428" s="5" t="str">
        <f t="shared" si="688"/>
        <v>х</v>
      </c>
      <c r="BN428" s="5" t="str">
        <f t="shared" si="688"/>
        <v>х</v>
      </c>
      <c r="BO428" s="5" t="str">
        <f t="shared" si="688"/>
        <v>х</v>
      </c>
      <c r="BP428" s="5" t="str">
        <f t="shared" si="688"/>
        <v>х</v>
      </c>
      <c r="BQ428" s="5" t="str">
        <f t="shared" si="688"/>
        <v>х</v>
      </c>
      <c r="BR428" s="5" t="str">
        <f>"1985"</f>
        <v>1985</v>
      </c>
      <c r="BS428" s="5" t="str">
        <f>"50,00"</f>
        <v>50,00</v>
      </c>
      <c r="BT428" s="5" t="str">
        <f>"2016"</f>
        <v>2016</v>
      </c>
      <c r="BU428" s="5" t="str">
        <f t="shared" ref="BU428:BU491" si="689">"нет"</f>
        <v>нет</v>
      </c>
      <c r="BV428" s="5" t="str">
        <f t="shared" si="683"/>
        <v>x</v>
      </c>
      <c r="BW428" s="5" t="str">
        <f t="shared" si="683"/>
        <v>x</v>
      </c>
      <c r="BX428" s="5" t="str">
        <f t="shared" si="683"/>
        <v>x</v>
      </c>
      <c r="BY428" s="5" t="str">
        <f t="shared" si="674"/>
        <v>нет</v>
      </c>
      <c r="BZ428" s="5" t="str">
        <f t="shared" si="681"/>
        <v>x</v>
      </c>
      <c r="CA428" s="5" t="str">
        <f t="shared" si="682"/>
        <v>x</v>
      </c>
      <c r="CB428" s="5" t="str">
        <f t="shared" si="682"/>
        <v>x</v>
      </c>
      <c r="CC428" s="5" t="str">
        <f>"1985"</f>
        <v>1985</v>
      </c>
      <c r="CD428" s="5" t="str">
        <f>"50,00"</f>
        <v>50,00</v>
      </c>
      <c r="CE428" s="5" t="str">
        <f>"2016"</f>
        <v>2016</v>
      </c>
      <c r="CF428" s="5" t="str">
        <f>"1985"</f>
        <v>1985</v>
      </c>
      <c r="CG428" s="5" t="str">
        <f>"50,00"</f>
        <v>50,00</v>
      </c>
      <c r="CH428" s="5" t="str">
        <f>"2028"</f>
        <v>2028</v>
      </c>
      <c r="CI428" s="5" t="str">
        <f>"33,00"</f>
        <v>33,00</v>
      </c>
      <c r="CJ428" s="5" t="str">
        <f>"2031"</f>
        <v>2031</v>
      </c>
    </row>
    <row r="429" spans="1:88" ht="11.25" customHeight="1">
      <c r="A429" s="3" t="str">
        <f>"1.416"</f>
        <v>1.416</v>
      </c>
      <c r="B429" s="4" t="str">
        <f>"ж/д_ст. Стеблево, д.4"</f>
        <v>ж/д_ст. Стеблево, д.4</v>
      </c>
      <c r="C429" s="7" t="str">
        <f>"1961"</f>
        <v>1961</v>
      </c>
      <c r="D429" s="5" t="str">
        <f>"1961"</f>
        <v>1961</v>
      </c>
      <c r="E429" s="5" t="str">
        <f>"65,00"</f>
        <v>65,00</v>
      </c>
      <c r="F429" s="5" t="str">
        <f>"2035"</f>
        <v>2035</v>
      </c>
      <c r="G429" s="5" t="str">
        <f>"нет"</f>
        <v>нет</v>
      </c>
      <c r="H429" s="5" t="str">
        <f>""</f>
        <v/>
      </c>
      <c r="I429" s="5" t="str">
        <f>""</f>
        <v/>
      </c>
      <c r="J429" s="5" t="str">
        <f>""</f>
        <v/>
      </c>
      <c r="K429" s="5" t="str">
        <f>"нет"</f>
        <v>нет</v>
      </c>
      <c r="L429" s="5" t="str">
        <f>""</f>
        <v/>
      </c>
      <c r="M429" s="5" t="str">
        <f>""</f>
        <v/>
      </c>
      <c r="N429" s="5" t="str">
        <f>""</f>
        <v/>
      </c>
      <c r="O429" s="8" t="str">
        <f t="shared" si="685"/>
        <v>х</v>
      </c>
      <c r="P429" s="5" t="str">
        <f t="shared" si="685"/>
        <v>х</v>
      </c>
      <c r="Q429" s="5" t="str">
        <f t="shared" si="685"/>
        <v>х</v>
      </c>
      <c r="R429" s="5" t="str">
        <f t="shared" si="685"/>
        <v>х</v>
      </c>
      <c r="S429" s="5" t="str">
        <f t="shared" si="685"/>
        <v>х</v>
      </c>
      <c r="T429" s="5" t="str">
        <f t="shared" si="685"/>
        <v>х</v>
      </c>
      <c r="U429" s="5" t="str">
        <f t="shared" si="685"/>
        <v>х</v>
      </c>
      <c r="V429" s="5" t="str">
        <f t="shared" si="685"/>
        <v>х</v>
      </c>
      <c r="W429" s="5" t="str">
        <f t="shared" si="685"/>
        <v>х</v>
      </c>
      <c r="X429" s="5" t="str">
        <f t="shared" si="685"/>
        <v>х</v>
      </c>
      <c r="Y429" s="9" t="str">
        <f t="shared" si="686"/>
        <v>х</v>
      </c>
      <c r="Z429" s="5" t="str">
        <f t="shared" si="686"/>
        <v>х</v>
      </c>
      <c r="AA429" s="5" t="str">
        <f t="shared" si="686"/>
        <v>х</v>
      </c>
      <c r="AB429" s="5" t="str">
        <f t="shared" si="686"/>
        <v>х</v>
      </c>
      <c r="AC429" s="5" t="str">
        <f t="shared" si="686"/>
        <v>х</v>
      </c>
      <c r="AD429" s="5" t="str">
        <f t="shared" si="686"/>
        <v>х</v>
      </c>
      <c r="AE429" s="5" t="str">
        <f t="shared" si="686"/>
        <v>х</v>
      </c>
      <c r="AF429" s="5" t="str">
        <f t="shared" si="686"/>
        <v>х</v>
      </c>
      <c r="AG429" s="5" t="str">
        <f t="shared" si="686"/>
        <v>х</v>
      </c>
      <c r="AH429" s="5" t="str">
        <f t="shared" si="686"/>
        <v>х</v>
      </c>
      <c r="AI429" s="5" t="str">
        <f t="shared" si="687"/>
        <v>х</v>
      </c>
      <c r="AJ429" s="5" t="str">
        <f t="shared" si="687"/>
        <v>х</v>
      </c>
      <c r="AK429" s="8" t="str">
        <f t="shared" si="687"/>
        <v>х</v>
      </c>
      <c r="AL429" s="5" t="str">
        <f t="shared" si="687"/>
        <v>х</v>
      </c>
      <c r="AM429" s="5" t="str">
        <f t="shared" si="687"/>
        <v>х</v>
      </c>
      <c r="AN429" s="5" t="str">
        <f t="shared" si="687"/>
        <v>х</v>
      </c>
      <c r="AO429" s="5" t="str">
        <f t="shared" si="687"/>
        <v>х</v>
      </c>
      <c r="AP429" s="5" t="str">
        <f t="shared" si="687"/>
        <v>х</v>
      </c>
      <c r="AQ429" s="5" t="str">
        <f t="shared" si="687"/>
        <v>х</v>
      </c>
      <c r="AR429" s="5" t="str">
        <f t="shared" si="687"/>
        <v>х</v>
      </c>
      <c r="AS429" s="5" t="str">
        <f t="shared" si="687"/>
        <v>х</v>
      </c>
      <c r="AT429" s="5" t="str">
        <f t="shared" si="687"/>
        <v>х</v>
      </c>
      <c r="AU429" s="5" t="str">
        <f t="shared" si="687"/>
        <v>х</v>
      </c>
      <c r="AV429" s="5" t="str">
        <f t="shared" si="684"/>
        <v>х</v>
      </c>
      <c r="AW429" s="5" t="str">
        <f t="shared" si="684"/>
        <v>х</v>
      </c>
      <c r="AX429" s="5" t="str">
        <f t="shared" si="684"/>
        <v>х</v>
      </c>
      <c r="AY429" s="5" t="str">
        <f t="shared" si="684"/>
        <v>х</v>
      </c>
      <c r="AZ429" s="5" t="str">
        <f t="shared" si="684"/>
        <v>х</v>
      </c>
      <c r="BA429" s="5" t="str">
        <f t="shared" si="684"/>
        <v>х</v>
      </c>
      <c r="BB429" s="5" t="str">
        <f t="shared" si="684"/>
        <v>х</v>
      </c>
      <c r="BC429" s="5" t="str">
        <f t="shared" si="684"/>
        <v>х</v>
      </c>
      <c r="BD429" s="5" t="str">
        <f t="shared" si="684"/>
        <v>х</v>
      </c>
      <c r="BE429" s="5" t="str">
        <f t="shared" si="684"/>
        <v>х</v>
      </c>
      <c r="BF429" s="5" t="str">
        <f t="shared" si="684"/>
        <v>х</v>
      </c>
      <c r="BG429" s="5" t="str">
        <f t="shared" si="688"/>
        <v>х</v>
      </c>
      <c r="BH429" s="5" t="str">
        <f t="shared" si="688"/>
        <v>х</v>
      </c>
      <c r="BI429" s="5" t="str">
        <f t="shared" si="688"/>
        <v>х</v>
      </c>
      <c r="BJ429" s="5" t="str">
        <f t="shared" si="688"/>
        <v>х</v>
      </c>
      <c r="BK429" s="5" t="str">
        <f t="shared" si="688"/>
        <v>х</v>
      </c>
      <c r="BL429" s="5" t="str">
        <f t="shared" si="688"/>
        <v>х</v>
      </c>
      <c r="BM429" s="5" t="str">
        <f t="shared" si="688"/>
        <v>х</v>
      </c>
      <c r="BN429" s="5" t="str">
        <f t="shared" si="688"/>
        <v>х</v>
      </c>
      <c r="BO429" s="5" t="str">
        <f t="shared" si="688"/>
        <v>х</v>
      </c>
      <c r="BP429" s="5" t="str">
        <f t="shared" si="688"/>
        <v>х</v>
      </c>
      <c r="BQ429" s="5" t="str">
        <f t="shared" si="688"/>
        <v>х</v>
      </c>
      <c r="BR429" s="5" t="str">
        <f>"2006"</f>
        <v>2006</v>
      </c>
      <c r="BS429" s="5" t="str">
        <f>"10,00"</f>
        <v>10,00</v>
      </c>
      <c r="BT429" s="5" t="str">
        <f>"2035"</f>
        <v>2035</v>
      </c>
      <c r="BU429" s="5" t="str">
        <f t="shared" si="689"/>
        <v>нет</v>
      </c>
      <c r="BV429" s="5" t="str">
        <f t="shared" si="683"/>
        <v>x</v>
      </c>
      <c r="BW429" s="5" t="str">
        <f t="shared" si="683"/>
        <v>x</v>
      </c>
      <c r="BX429" s="5" t="str">
        <f t="shared" si="683"/>
        <v>x</v>
      </c>
      <c r="BY429" s="5" t="str">
        <f t="shared" si="674"/>
        <v>нет</v>
      </c>
      <c r="BZ429" s="5" t="str">
        <f t="shared" si="681"/>
        <v>x</v>
      </c>
      <c r="CA429" s="5" t="str">
        <f t="shared" si="682"/>
        <v>x</v>
      </c>
      <c r="CB429" s="5" t="str">
        <f t="shared" si="682"/>
        <v>x</v>
      </c>
      <c r="CC429" s="5" t="str">
        <f>"1961"</f>
        <v>1961</v>
      </c>
      <c r="CD429" s="5" t="str">
        <f>"60,00"</f>
        <v>60,00</v>
      </c>
      <c r="CE429" s="5" t="str">
        <f>"2016"</f>
        <v>2016</v>
      </c>
      <c r="CF429" s="5" t="str">
        <f>"1961"</f>
        <v>1961</v>
      </c>
      <c r="CG429" s="5" t="str">
        <f>"60,00"</f>
        <v>60,00</v>
      </c>
      <c r="CH429" s="5" t="str">
        <f>"2016"</f>
        <v>2016</v>
      </c>
      <c r="CI429" s="5" t="str">
        <f>"50,00"</f>
        <v>50,00</v>
      </c>
      <c r="CJ429" s="5" t="str">
        <f>"2035"</f>
        <v>2035</v>
      </c>
    </row>
    <row r="430" spans="1:88" ht="11.25" customHeight="1">
      <c r="A430" s="3" t="str">
        <f>"1.417"</f>
        <v>1.417</v>
      </c>
      <c r="B430" s="4" t="str">
        <f>"ж/д_ст. Туфаново, д.10"</f>
        <v>ж/д_ст. Туфаново, д.10</v>
      </c>
      <c r="C430" s="7" t="str">
        <f>"1904"</f>
        <v>1904</v>
      </c>
      <c r="D430" s="5" t="str">
        <f>"1904"</f>
        <v>1904</v>
      </c>
      <c r="E430" s="5" t="str">
        <f>"75,00"</f>
        <v>75,00</v>
      </c>
      <c r="F430" s="5" t="str">
        <f>"2016"</f>
        <v>2016</v>
      </c>
      <c r="G430" s="5" t="str">
        <f>"нет"</f>
        <v>нет</v>
      </c>
      <c r="H430" s="5" t="str">
        <f>""</f>
        <v/>
      </c>
      <c r="I430" s="5" t="str">
        <f>""</f>
        <v/>
      </c>
      <c r="J430" s="5" t="str">
        <f>""</f>
        <v/>
      </c>
      <c r="K430" s="5" t="str">
        <f>"нет"</f>
        <v>нет</v>
      </c>
      <c r="L430" s="5" t="str">
        <f>""</f>
        <v/>
      </c>
      <c r="M430" s="5" t="str">
        <f>""</f>
        <v/>
      </c>
      <c r="N430" s="5" t="str">
        <f>""</f>
        <v/>
      </c>
      <c r="O430" s="8" t="str">
        <f t="shared" si="685"/>
        <v>х</v>
      </c>
      <c r="P430" s="5" t="str">
        <f t="shared" si="685"/>
        <v>х</v>
      </c>
      <c r="Q430" s="5" t="str">
        <f t="shared" si="685"/>
        <v>х</v>
      </c>
      <c r="R430" s="5" t="str">
        <f t="shared" si="685"/>
        <v>х</v>
      </c>
      <c r="S430" s="5" t="str">
        <f t="shared" si="685"/>
        <v>х</v>
      </c>
      <c r="T430" s="5" t="str">
        <f t="shared" si="685"/>
        <v>х</v>
      </c>
      <c r="U430" s="5" t="str">
        <f t="shared" si="685"/>
        <v>х</v>
      </c>
      <c r="V430" s="5" t="str">
        <f t="shared" si="685"/>
        <v>х</v>
      </c>
      <c r="W430" s="5" t="str">
        <f t="shared" si="685"/>
        <v>х</v>
      </c>
      <c r="X430" s="5" t="str">
        <f t="shared" si="685"/>
        <v>х</v>
      </c>
      <c r="Y430" s="9" t="str">
        <f t="shared" si="686"/>
        <v>х</v>
      </c>
      <c r="Z430" s="5" t="str">
        <f t="shared" si="686"/>
        <v>х</v>
      </c>
      <c r="AA430" s="5" t="str">
        <f t="shared" si="686"/>
        <v>х</v>
      </c>
      <c r="AB430" s="5" t="str">
        <f t="shared" si="686"/>
        <v>х</v>
      </c>
      <c r="AC430" s="5" t="str">
        <f t="shared" si="686"/>
        <v>х</v>
      </c>
      <c r="AD430" s="5" t="str">
        <f t="shared" si="686"/>
        <v>х</v>
      </c>
      <c r="AE430" s="5" t="str">
        <f t="shared" si="686"/>
        <v>х</v>
      </c>
      <c r="AF430" s="5" t="str">
        <f t="shared" si="686"/>
        <v>х</v>
      </c>
      <c r="AG430" s="5" t="str">
        <f t="shared" si="686"/>
        <v>х</v>
      </c>
      <c r="AH430" s="5" t="str">
        <f t="shared" si="686"/>
        <v>х</v>
      </c>
      <c r="AI430" s="5" t="str">
        <f t="shared" si="687"/>
        <v>х</v>
      </c>
      <c r="AJ430" s="5" t="str">
        <f t="shared" si="687"/>
        <v>х</v>
      </c>
      <c r="AK430" s="8" t="str">
        <f t="shared" si="687"/>
        <v>х</v>
      </c>
      <c r="AL430" s="5" t="str">
        <f t="shared" si="687"/>
        <v>х</v>
      </c>
      <c r="AM430" s="5" t="str">
        <f t="shared" si="687"/>
        <v>х</v>
      </c>
      <c r="AN430" s="5" t="str">
        <f t="shared" si="687"/>
        <v>х</v>
      </c>
      <c r="AO430" s="5" t="str">
        <f t="shared" si="687"/>
        <v>х</v>
      </c>
      <c r="AP430" s="5" t="str">
        <f t="shared" si="687"/>
        <v>х</v>
      </c>
      <c r="AQ430" s="5" t="str">
        <f t="shared" si="687"/>
        <v>х</v>
      </c>
      <c r="AR430" s="5" t="str">
        <f t="shared" si="687"/>
        <v>х</v>
      </c>
      <c r="AS430" s="5" t="str">
        <f t="shared" si="687"/>
        <v>х</v>
      </c>
      <c r="AT430" s="5" t="str">
        <f t="shared" si="687"/>
        <v>х</v>
      </c>
      <c r="AU430" s="5" t="str">
        <f t="shared" si="687"/>
        <v>х</v>
      </c>
      <c r="AV430" s="5" t="str">
        <f t="shared" si="684"/>
        <v>х</v>
      </c>
      <c r="AW430" s="5" t="str">
        <f t="shared" si="684"/>
        <v>х</v>
      </c>
      <c r="AX430" s="5" t="str">
        <f t="shared" si="684"/>
        <v>х</v>
      </c>
      <c r="AY430" s="5" t="str">
        <f t="shared" si="684"/>
        <v>х</v>
      </c>
      <c r="AZ430" s="5" t="str">
        <f t="shared" si="684"/>
        <v>х</v>
      </c>
      <c r="BA430" s="5" t="str">
        <f t="shared" si="684"/>
        <v>х</v>
      </c>
      <c r="BB430" s="5" t="str">
        <f t="shared" si="684"/>
        <v>х</v>
      </c>
      <c r="BC430" s="5" t="str">
        <f t="shared" si="684"/>
        <v>х</v>
      </c>
      <c r="BD430" s="5" t="str">
        <f t="shared" si="684"/>
        <v>х</v>
      </c>
      <c r="BE430" s="5" t="str">
        <f t="shared" si="684"/>
        <v>х</v>
      </c>
      <c r="BF430" s="5" t="str">
        <f t="shared" si="684"/>
        <v>х</v>
      </c>
      <c r="BG430" s="5" t="str">
        <f t="shared" si="688"/>
        <v>х</v>
      </c>
      <c r="BH430" s="5" t="str">
        <f t="shared" si="688"/>
        <v>х</v>
      </c>
      <c r="BI430" s="5" t="str">
        <f t="shared" si="688"/>
        <v>х</v>
      </c>
      <c r="BJ430" s="5" t="str">
        <f t="shared" si="688"/>
        <v>х</v>
      </c>
      <c r="BK430" s="5" t="str">
        <f t="shared" si="688"/>
        <v>х</v>
      </c>
      <c r="BL430" s="5" t="str">
        <f t="shared" si="688"/>
        <v>х</v>
      </c>
      <c r="BM430" s="5" t="str">
        <f t="shared" si="688"/>
        <v>х</v>
      </c>
      <c r="BN430" s="5" t="str">
        <f t="shared" si="688"/>
        <v>х</v>
      </c>
      <c r="BO430" s="5" t="str">
        <f t="shared" si="688"/>
        <v>х</v>
      </c>
      <c r="BP430" s="5" t="str">
        <f t="shared" si="688"/>
        <v>х</v>
      </c>
      <c r="BQ430" s="5" t="str">
        <f t="shared" si="688"/>
        <v>х</v>
      </c>
      <c r="BR430" s="5" t="str">
        <f>"1904"</f>
        <v>1904</v>
      </c>
      <c r="BS430" s="5" t="str">
        <f>"75,00"</f>
        <v>75,00</v>
      </c>
      <c r="BT430" s="5" t="str">
        <f>"2016"</f>
        <v>2016</v>
      </c>
      <c r="BU430" s="5" t="str">
        <f t="shared" si="689"/>
        <v>нет</v>
      </c>
      <c r="BV430" s="5" t="str">
        <f t="shared" si="683"/>
        <v>x</v>
      </c>
      <c r="BW430" s="5" t="str">
        <f t="shared" si="683"/>
        <v>x</v>
      </c>
      <c r="BX430" s="5" t="str">
        <f t="shared" si="683"/>
        <v>x</v>
      </c>
      <c r="BY430" s="5" t="str">
        <f t="shared" si="674"/>
        <v>нет</v>
      </c>
      <c r="BZ430" s="5" t="str">
        <f t="shared" si="681"/>
        <v>x</v>
      </c>
      <c r="CA430" s="5" t="str">
        <f t="shared" si="682"/>
        <v>x</v>
      </c>
      <c r="CB430" s="5" t="str">
        <f t="shared" si="682"/>
        <v>x</v>
      </c>
      <c r="CC430" s="5" t="str">
        <f>"1904"</f>
        <v>1904</v>
      </c>
      <c r="CD430" s="5" t="str">
        <f>"75,00"</f>
        <v>75,00</v>
      </c>
      <c r="CE430" s="5" t="str">
        <f>"2016"</f>
        <v>2016</v>
      </c>
      <c r="CF430" s="5" t="str">
        <f>"1904"</f>
        <v>1904</v>
      </c>
      <c r="CG430" s="5" t="str">
        <f>"75,00"</f>
        <v>75,00</v>
      </c>
      <c r="CH430" s="5" t="str">
        <f>"2016"</f>
        <v>2016</v>
      </c>
      <c r="CI430" s="5" t="str">
        <f>"80,00"</f>
        <v>80,00</v>
      </c>
      <c r="CJ430" s="5" t="str">
        <f>"2030"</f>
        <v>2030</v>
      </c>
    </row>
    <row r="431" spans="1:88" ht="11.25" customHeight="1">
      <c r="A431" s="3" t="str">
        <f>"1.418"</f>
        <v>1.418</v>
      </c>
      <c r="B431" s="4" t="str">
        <f>"ж/д_ст. Туфаново, д.7"</f>
        <v>ж/д_ст. Туфаново, д.7</v>
      </c>
      <c r="C431" s="7" t="str">
        <f>"1911"</f>
        <v>1911</v>
      </c>
      <c r="D431" s="5" t="str">
        <f>"1911"</f>
        <v>1911</v>
      </c>
      <c r="E431" s="5" t="str">
        <f>"75,00"</f>
        <v>75,00</v>
      </c>
      <c r="F431" s="5" t="str">
        <f>"2017"</f>
        <v>2017</v>
      </c>
      <c r="G431" s="5" t="str">
        <f>"нет"</f>
        <v>нет</v>
      </c>
      <c r="H431" s="5" t="str">
        <f>""</f>
        <v/>
      </c>
      <c r="I431" s="5" t="str">
        <f>""</f>
        <v/>
      </c>
      <c r="J431" s="5" t="str">
        <f>""</f>
        <v/>
      </c>
      <c r="K431" s="5" t="str">
        <f>"нет"</f>
        <v>нет</v>
      </c>
      <c r="L431" s="5" t="str">
        <f>""</f>
        <v/>
      </c>
      <c r="M431" s="5" t="str">
        <f>""</f>
        <v/>
      </c>
      <c r="N431" s="5" t="str">
        <f>""</f>
        <v/>
      </c>
      <c r="O431" s="8" t="str">
        <f t="shared" si="685"/>
        <v>х</v>
      </c>
      <c r="P431" s="5" t="str">
        <f t="shared" si="685"/>
        <v>х</v>
      </c>
      <c r="Q431" s="5" t="str">
        <f t="shared" si="685"/>
        <v>х</v>
      </c>
      <c r="R431" s="5" t="str">
        <f t="shared" si="685"/>
        <v>х</v>
      </c>
      <c r="S431" s="5" t="str">
        <f t="shared" si="685"/>
        <v>х</v>
      </c>
      <c r="T431" s="5" t="str">
        <f t="shared" si="685"/>
        <v>х</v>
      </c>
      <c r="U431" s="5" t="str">
        <f t="shared" si="685"/>
        <v>х</v>
      </c>
      <c r="V431" s="5" t="str">
        <f t="shared" si="685"/>
        <v>х</v>
      </c>
      <c r="W431" s="5" t="str">
        <f t="shared" si="685"/>
        <v>х</v>
      </c>
      <c r="X431" s="5" t="str">
        <f t="shared" si="685"/>
        <v>х</v>
      </c>
      <c r="Y431" s="9" t="str">
        <f t="shared" si="686"/>
        <v>х</v>
      </c>
      <c r="Z431" s="5" t="str">
        <f t="shared" si="686"/>
        <v>х</v>
      </c>
      <c r="AA431" s="5" t="str">
        <f t="shared" si="686"/>
        <v>х</v>
      </c>
      <c r="AB431" s="5" t="str">
        <f t="shared" si="686"/>
        <v>х</v>
      </c>
      <c r="AC431" s="5" t="str">
        <f t="shared" si="686"/>
        <v>х</v>
      </c>
      <c r="AD431" s="5" t="str">
        <f t="shared" si="686"/>
        <v>х</v>
      </c>
      <c r="AE431" s="5" t="str">
        <f t="shared" si="686"/>
        <v>х</v>
      </c>
      <c r="AF431" s="5" t="str">
        <f t="shared" si="686"/>
        <v>х</v>
      </c>
      <c r="AG431" s="5" t="str">
        <f t="shared" si="686"/>
        <v>х</v>
      </c>
      <c r="AH431" s="5" t="str">
        <f t="shared" si="686"/>
        <v>х</v>
      </c>
      <c r="AI431" s="5" t="str">
        <f t="shared" si="687"/>
        <v>х</v>
      </c>
      <c r="AJ431" s="5" t="str">
        <f t="shared" si="687"/>
        <v>х</v>
      </c>
      <c r="AK431" s="8" t="str">
        <f t="shared" si="687"/>
        <v>х</v>
      </c>
      <c r="AL431" s="5" t="str">
        <f t="shared" si="687"/>
        <v>х</v>
      </c>
      <c r="AM431" s="5" t="str">
        <f t="shared" si="687"/>
        <v>х</v>
      </c>
      <c r="AN431" s="5" t="str">
        <f t="shared" si="687"/>
        <v>х</v>
      </c>
      <c r="AO431" s="5" t="str">
        <f t="shared" si="687"/>
        <v>х</v>
      </c>
      <c r="AP431" s="5" t="str">
        <f t="shared" si="687"/>
        <v>х</v>
      </c>
      <c r="AQ431" s="5" t="str">
        <f t="shared" si="687"/>
        <v>х</v>
      </c>
      <c r="AR431" s="5" t="str">
        <f t="shared" si="687"/>
        <v>х</v>
      </c>
      <c r="AS431" s="5" t="str">
        <f t="shared" si="687"/>
        <v>х</v>
      </c>
      <c r="AT431" s="5" t="str">
        <f t="shared" si="687"/>
        <v>х</v>
      </c>
      <c r="AU431" s="5" t="str">
        <f t="shared" si="687"/>
        <v>х</v>
      </c>
      <c r="AV431" s="5" t="str">
        <f t="shared" si="684"/>
        <v>х</v>
      </c>
      <c r="AW431" s="5" t="str">
        <f t="shared" si="684"/>
        <v>х</v>
      </c>
      <c r="AX431" s="5" t="str">
        <f t="shared" si="684"/>
        <v>х</v>
      </c>
      <c r="AY431" s="5" t="str">
        <f t="shared" si="684"/>
        <v>х</v>
      </c>
      <c r="AZ431" s="5" t="str">
        <f t="shared" si="684"/>
        <v>х</v>
      </c>
      <c r="BA431" s="5" t="str">
        <f t="shared" si="684"/>
        <v>х</v>
      </c>
      <c r="BB431" s="5" t="str">
        <f t="shared" si="684"/>
        <v>х</v>
      </c>
      <c r="BC431" s="5" t="str">
        <f t="shared" si="684"/>
        <v>х</v>
      </c>
      <c r="BD431" s="5" t="str">
        <f t="shared" si="684"/>
        <v>х</v>
      </c>
      <c r="BE431" s="5" t="str">
        <f t="shared" si="684"/>
        <v>х</v>
      </c>
      <c r="BF431" s="5" t="str">
        <f t="shared" si="684"/>
        <v>х</v>
      </c>
      <c r="BG431" s="5" t="str">
        <f t="shared" si="688"/>
        <v>х</v>
      </c>
      <c r="BH431" s="5" t="str">
        <f t="shared" si="688"/>
        <v>х</v>
      </c>
      <c r="BI431" s="5" t="str">
        <f t="shared" si="688"/>
        <v>х</v>
      </c>
      <c r="BJ431" s="5" t="str">
        <f t="shared" si="688"/>
        <v>х</v>
      </c>
      <c r="BK431" s="5" t="str">
        <f t="shared" si="688"/>
        <v>х</v>
      </c>
      <c r="BL431" s="5" t="str">
        <f t="shared" si="688"/>
        <v>х</v>
      </c>
      <c r="BM431" s="5" t="str">
        <f t="shared" si="688"/>
        <v>х</v>
      </c>
      <c r="BN431" s="5" t="str">
        <f t="shared" si="688"/>
        <v>х</v>
      </c>
      <c r="BO431" s="5" t="str">
        <f t="shared" si="688"/>
        <v>х</v>
      </c>
      <c r="BP431" s="5" t="str">
        <f t="shared" si="688"/>
        <v>х</v>
      </c>
      <c r="BQ431" s="5" t="str">
        <f t="shared" si="688"/>
        <v>х</v>
      </c>
      <c r="BR431" s="5" t="str">
        <f>"1911"</f>
        <v>1911</v>
      </c>
      <c r="BS431" s="5" t="str">
        <f>"75,00"</f>
        <v>75,00</v>
      </c>
      <c r="BT431" s="5" t="str">
        <f>"2017"</f>
        <v>2017</v>
      </c>
      <c r="BU431" s="5" t="str">
        <f t="shared" si="689"/>
        <v>нет</v>
      </c>
      <c r="BV431" s="5" t="str">
        <f t="shared" si="683"/>
        <v>x</v>
      </c>
      <c r="BW431" s="5" t="str">
        <f t="shared" si="683"/>
        <v>x</v>
      </c>
      <c r="BX431" s="5" t="str">
        <f t="shared" si="683"/>
        <v>x</v>
      </c>
      <c r="BY431" s="5" t="str">
        <f t="shared" si="674"/>
        <v>нет</v>
      </c>
      <c r="BZ431" s="5" t="str">
        <f t="shared" si="681"/>
        <v>x</v>
      </c>
      <c r="CA431" s="5" t="str">
        <f t="shared" si="682"/>
        <v>x</v>
      </c>
      <c r="CB431" s="5" t="str">
        <f t="shared" si="682"/>
        <v>x</v>
      </c>
      <c r="CC431" s="5" t="str">
        <f>"1911"</f>
        <v>1911</v>
      </c>
      <c r="CD431" s="5" t="str">
        <f>"75,00"</f>
        <v>75,00</v>
      </c>
      <c r="CE431" s="5" t="str">
        <f>"2019"</f>
        <v>2019</v>
      </c>
      <c r="CF431" s="5" t="str">
        <f>"1911"</f>
        <v>1911</v>
      </c>
      <c r="CG431" s="5" t="str">
        <f>"75,00"</f>
        <v>75,00</v>
      </c>
      <c r="CH431" s="5" t="str">
        <f>"2030"</f>
        <v>2030</v>
      </c>
      <c r="CI431" s="5" t="str">
        <f>"80,00"</f>
        <v>80,00</v>
      </c>
      <c r="CJ431" s="5" t="str">
        <f>"2030"</f>
        <v>2030</v>
      </c>
    </row>
    <row r="432" spans="1:88" ht="11.25" customHeight="1">
      <c r="A432" s="3" t="str">
        <f>"1.419"</f>
        <v>1.419</v>
      </c>
      <c r="B432" s="4" t="str">
        <f>"ж/д_ст. Туфаново, д.9"</f>
        <v>ж/д_ст. Туфаново, д.9</v>
      </c>
      <c r="C432" s="7" t="str">
        <f>"1911"</f>
        <v>1911</v>
      </c>
      <c r="D432" s="5" t="str">
        <f>"1911"</f>
        <v>1911</v>
      </c>
      <c r="E432" s="5" t="str">
        <f>"75,00"</f>
        <v>75,00</v>
      </c>
      <c r="F432" s="5" t="str">
        <f>"2018"</f>
        <v>2018</v>
      </c>
      <c r="G432" s="5" t="str">
        <f>"нет"</f>
        <v>нет</v>
      </c>
      <c r="H432" s="5" t="str">
        <f>""</f>
        <v/>
      </c>
      <c r="I432" s="5" t="str">
        <f>""</f>
        <v/>
      </c>
      <c r="J432" s="5" t="str">
        <f>""</f>
        <v/>
      </c>
      <c r="K432" s="5" t="str">
        <f>"нет"</f>
        <v>нет</v>
      </c>
      <c r="L432" s="5" t="str">
        <f>""</f>
        <v/>
      </c>
      <c r="M432" s="5" t="str">
        <f>""</f>
        <v/>
      </c>
      <c r="N432" s="5" t="str">
        <f>""</f>
        <v/>
      </c>
      <c r="O432" s="8" t="str">
        <f t="shared" si="685"/>
        <v>х</v>
      </c>
      <c r="P432" s="5" t="str">
        <f t="shared" si="685"/>
        <v>х</v>
      </c>
      <c r="Q432" s="5" t="str">
        <f t="shared" si="685"/>
        <v>х</v>
      </c>
      <c r="R432" s="5" t="str">
        <f t="shared" si="685"/>
        <v>х</v>
      </c>
      <c r="S432" s="5" t="str">
        <f t="shared" si="685"/>
        <v>х</v>
      </c>
      <c r="T432" s="5" t="str">
        <f t="shared" si="685"/>
        <v>х</v>
      </c>
      <c r="U432" s="5" t="str">
        <f t="shared" si="685"/>
        <v>х</v>
      </c>
      <c r="V432" s="5" t="str">
        <f t="shared" si="685"/>
        <v>х</v>
      </c>
      <c r="W432" s="5" t="str">
        <f t="shared" si="685"/>
        <v>х</v>
      </c>
      <c r="X432" s="5" t="str">
        <f t="shared" si="685"/>
        <v>х</v>
      </c>
      <c r="Y432" s="9" t="str">
        <f t="shared" si="686"/>
        <v>х</v>
      </c>
      <c r="Z432" s="5" t="str">
        <f t="shared" si="686"/>
        <v>х</v>
      </c>
      <c r="AA432" s="5" t="str">
        <f t="shared" si="686"/>
        <v>х</v>
      </c>
      <c r="AB432" s="5" t="str">
        <f t="shared" si="686"/>
        <v>х</v>
      </c>
      <c r="AC432" s="5" t="str">
        <f t="shared" si="686"/>
        <v>х</v>
      </c>
      <c r="AD432" s="5" t="str">
        <f t="shared" si="686"/>
        <v>х</v>
      </c>
      <c r="AE432" s="5" t="str">
        <f t="shared" si="686"/>
        <v>х</v>
      </c>
      <c r="AF432" s="5" t="str">
        <f t="shared" si="686"/>
        <v>х</v>
      </c>
      <c r="AG432" s="5" t="str">
        <f t="shared" si="686"/>
        <v>х</v>
      </c>
      <c r="AH432" s="5" t="str">
        <f t="shared" si="686"/>
        <v>х</v>
      </c>
      <c r="AI432" s="5" t="str">
        <f t="shared" si="687"/>
        <v>х</v>
      </c>
      <c r="AJ432" s="5" t="str">
        <f t="shared" si="687"/>
        <v>х</v>
      </c>
      <c r="AK432" s="8" t="str">
        <f t="shared" si="687"/>
        <v>х</v>
      </c>
      <c r="AL432" s="5" t="str">
        <f t="shared" si="687"/>
        <v>х</v>
      </c>
      <c r="AM432" s="5" t="str">
        <f t="shared" si="687"/>
        <v>х</v>
      </c>
      <c r="AN432" s="5" t="str">
        <f t="shared" si="687"/>
        <v>х</v>
      </c>
      <c r="AO432" s="5" t="str">
        <f t="shared" si="687"/>
        <v>х</v>
      </c>
      <c r="AP432" s="5" t="str">
        <f t="shared" si="687"/>
        <v>х</v>
      </c>
      <c r="AQ432" s="5" t="str">
        <f t="shared" si="687"/>
        <v>х</v>
      </c>
      <c r="AR432" s="5" t="str">
        <f t="shared" si="687"/>
        <v>х</v>
      </c>
      <c r="AS432" s="5" t="str">
        <f t="shared" si="687"/>
        <v>х</v>
      </c>
      <c r="AT432" s="5" t="str">
        <f t="shared" si="687"/>
        <v>х</v>
      </c>
      <c r="AU432" s="5" t="str">
        <f t="shared" si="687"/>
        <v>х</v>
      </c>
      <c r="AV432" s="5" t="str">
        <f t="shared" si="684"/>
        <v>х</v>
      </c>
      <c r="AW432" s="5" t="str">
        <f t="shared" si="684"/>
        <v>х</v>
      </c>
      <c r="AX432" s="5" t="str">
        <f t="shared" si="684"/>
        <v>х</v>
      </c>
      <c r="AY432" s="5" t="str">
        <f t="shared" si="684"/>
        <v>х</v>
      </c>
      <c r="AZ432" s="5" t="str">
        <f t="shared" si="684"/>
        <v>х</v>
      </c>
      <c r="BA432" s="5" t="str">
        <f t="shared" si="684"/>
        <v>х</v>
      </c>
      <c r="BB432" s="5" t="str">
        <f t="shared" si="684"/>
        <v>х</v>
      </c>
      <c r="BC432" s="5" t="str">
        <f t="shared" si="684"/>
        <v>х</v>
      </c>
      <c r="BD432" s="5" t="str">
        <f t="shared" si="684"/>
        <v>х</v>
      </c>
      <c r="BE432" s="5" t="str">
        <f t="shared" si="684"/>
        <v>х</v>
      </c>
      <c r="BF432" s="5" t="str">
        <f t="shared" si="684"/>
        <v>х</v>
      </c>
      <c r="BG432" s="5" t="str">
        <f t="shared" si="688"/>
        <v>х</v>
      </c>
      <c r="BH432" s="5" t="str">
        <f t="shared" si="688"/>
        <v>х</v>
      </c>
      <c r="BI432" s="5" t="str">
        <f t="shared" si="688"/>
        <v>х</v>
      </c>
      <c r="BJ432" s="5" t="str">
        <f t="shared" si="688"/>
        <v>х</v>
      </c>
      <c r="BK432" s="5" t="str">
        <f t="shared" si="688"/>
        <v>х</v>
      </c>
      <c r="BL432" s="5" t="str">
        <f t="shared" si="688"/>
        <v>х</v>
      </c>
      <c r="BM432" s="5" t="str">
        <f t="shared" si="688"/>
        <v>х</v>
      </c>
      <c r="BN432" s="5" t="str">
        <f t="shared" si="688"/>
        <v>х</v>
      </c>
      <c r="BO432" s="5" t="str">
        <f t="shared" si="688"/>
        <v>х</v>
      </c>
      <c r="BP432" s="5" t="str">
        <f t="shared" si="688"/>
        <v>х</v>
      </c>
      <c r="BQ432" s="5" t="str">
        <f t="shared" si="688"/>
        <v>х</v>
      </c>
      <c r="BR432" s="5" t="str">
        <f>"1911"</f>
        <v>1911</v>
      </c>
      <c r="BS432" s="5" t="str">
        <f>"75,00"</f>
        <v>75,00</v>
      </c>
      <c r="BT432" s="5" t="str">
        <f>"2018"</f>
        <v>2018</v>
      </c>
      <c r="BU432" s="5" t="str">
        <f t="shared" si="689"/>
        <v>нет</v>
      </c>
      <c r="BV432" s="5" t="str">
        <f t="shared" si="683"/>
        <v>x</v>
      </c>
      <c r="BW432" s="5" t="str">
        <f t="shared" si="683"/>
        <v>x</v>
      </c>
      <c r="BX432" s="5" t="str">
        <f t="shared" si="683"/>
        <v>x</v>
      </c>
      <c r="BY432" s="5" t="str">
        <f t="shared" si="674"/>
        <v>нет</v>
      </c>
      <c r="BZ432" s="5" t="str">
        <f t="shared" si="681"/>
        <v>x</v>
      </c>
      <c r="CA432" s="5" t="str">
        <f t="shared" si="682"/>
        <v>x</v>
      </c>
      <c r="CB432" s="5" t="str">
        <f t="shared" si="682"/>
        <v>x</v>
      </c>
      <c r="CC432" s="5" t="str">
        <f>"1911"</f>
        <v>1911</v>
      </c>
      <c r="CD432" s="5" t="str">
        <f>"75,00"</f>
        <v>75,00</v>
      </c>
      <c r="CE432" s="5" t="str">
        <f>"2018"</f>
        <v>2018</v>
      </c>
      <c r="CF432" s="5" t="str">
        <f>"1911"</f>
        <v>1911</v>
      </c>
      <c r="CG432" s="5" t="str">
        <f>"75,00"</f>
        <v>75,00</v>
      </c>
      <c r="CH432" s="5" t="str">
        <f>"2033"</f>
        <v>2033</v>
      </c>
      <c r="CI432" s="5" t="str">
        <f>"63,00"</f>
        <v>63,00</v>
      </c>
      <c r="CJ432" s="5" t="str">
        <f>"2033"</f>
        <v>2033</v>
      </c>
    </row>
    <row r="433" spans="1:88" ht="11.25" customHeight="1">
      <c r="A433" s="3" t="str">
        <f>"1.420"</f>
        <v>1.420</v>
      </c>
      <c r="B433" s="4" t="str">
        <f>"м. Корнильево, д.1"</f>
        <v>м. Корнильево, д.1</v>
      </c>
      <c r="C433" s="7" t="str">
        <f>"1981"</f>
        <v>1981</v>
      </c>
      <c r="D433" s="5" t="str">
        <f t="shared" ref="D433:N434" si="690">"х"</f>
        <v>х</v>
      </c>
      <c r="E433" s="5" t="str">
        <f t="shared" si="690"/>
        <v>х</v>
      </c>
      <c r="F433" s="5" t="str">
        <f t="shared" si="690"/>
        <v>х</v>
      </c>
      <c r="G433" s="5" t="str">
        <f t="shared" si="690"/>
        <v>х</v>
      </c>
      <c r="H433" s="5" t="str">
        <f t="shared" si="690"/>
        <v>х</v>
      </c>
      <c r="I433" s="5" t="str">
        <f t="shared" si="690"/>
        <v>х</v>
      </c>
      <c r="J433" s="5" t="str">
        <f t="shared" si="690"/>
        <v>х</v>
      </c>
      <c r="K433" s="5" t="str">
        <f t="shared" si="690"/>
        <v>х</v>
      </c>
      <c r="L433" s="5" t="str">
        <f t="shared" si="690"/>
        <v>х</v>
      </c>
      <c r="M433" s="5" t="str">
        <f t="shared" si="690"/>
        <v>х</v>
      </c>
      <c r="N433" s="5" t="str">
        <f t="shared" si="690"/>
        <v>х</v>
      </c>
      <c r="O433" s="8" t="str">
        <f>""</f>
        <v/>
      </c>
      <c r="P433" s="5" t="str">
        <f>"65,00"</f>
        <v>65,00</v>
      </c>
      <c r="Q433" s="5" t="str">
        <f>"2020"</f>
        <v>2020</v>
      </c>
      <c r="R433" s="5" t="str">
        <f t="shared" ref="R433:R438" si="691">"нет"</f>
        <v>нет</v>
      </c>
      <c r="S433" s="5" t="str">
        <f>""</f>
        <v/>
      </c>
      <c r="T433" s="5" t="str">
        <f>""</f>
        <v/>
      </c>
      <c r="U433" s="5" t="str">
        <f>""</f>
        <v/>
      </c>
      <c r="V433" s="5" t="str">
        <f t="shared" ref="V433:V438" si="692">"нет"</f>
        <v>нет</v>
      </c>
      <c r="W433" s="5" t="str">
        <f>""</f>
        <v/>
      </c>
      <c r="X433" s="5" t="str">
        <f>""</f>
        <v/>
      </c>
      <c r="Y433" s="9" t="str">
        <f>""</f>
        <v/>
      </c>
      <c r="Z433" s="5" t="str">
        <f>""</f>
        <v/>
      </c>
      <c r="AA433" s="5" t="str">
        <f>""</f>
        <v/>
      </c>
      <c r="AB433" s="5" t="str">
        <f>""</f>
        <v/>
      </c>
      <c r="AC433" s="5" t="str">
        <f>""</f>
        <v/>
      </c>
      <c r="AD433" s="5" t="str">
        <f>""</f>
        <v/>
      </c>
      <c r="AE433" s="5" t="str">
        <f>""</f>
        <v/>
      </c>
      <c r="AF433" s="5" t="str">
        <f>""</f>
        <v/>
      </c>
      <c r="AG433" s="5" t="str">
        <f>""</f>
        <v/>
      </c>
      <c r="AH433" s="5" t="str">
        <f>""</f>
        <v/>
      </c>
      <c r="AI433" s="5" t="str">
        <f>""</f>
        <v/>
      </c>
      <c r="AJ433" s="5" t="str">
        <f>""</f>
        <v/>
      </c>
      <c r="AK433" s="8" t="str">
        <f>""</f>
        <v/>
      </c>
      <c r="AL433" s="5" t="str">
        <f>"45,00"</f>
        <v>45,00</v>
      </c>
      <c r="AM433" s="5" t="str">
        <f>"2020"</f>
        <v>2020</v>
      </c>
      <c r="AN433" s="5" t="str">
        <f>"нет"</f>
        <v>нет</v>
      </c>
      <c r="AO433" s="5" t="str">
        <f>""</f>
        <v/>
      </c>
      <c r="AP433" s="5" t="str">
        <f>""</f>
        <v/>
      </c>
      <c r="AQ433" s="5" t="str">
        <f>""</f>
        <v/>
      </c>
      <c r="AR433" s="5" t="str">
        <f>"нет"</f>
        <v>нет</v>
      </c>
      <c r="AS433" s="5" t="str">
        <f>""</f>
        <v/>
      </c>
      <c r="AT433" s="5" t="str">
        <f>""</f>
        <v/>
      </c>
      <c r="AU433" s="5" t="str">
        <f>""</f>
        <v/>
      </c>
      <c r="AV433" s="5" t="str">
        <f>""</f>
        <v/>
      </c>
      <c r="AW433" s="5" t="str">
        <f>""</f>
        <v/>
      </c>
      <c r="AX433" s="5" t="str">
        <f>""</f>
        <v/>
      </c>
      <c r="AY433" s="5" t="str">
        <f>""</f>
        <v/>
      </c>
      <c r="AZ433" s="5" t="str">
        <f>""</f>
        <v/>
      </c>
      <c r="BA433" s="5" t="str">
        <f>""</f>
        <v/>
      </c>
      <c r="BB433" s="5" t="str">
        <f>""</f>
        <v/>
      </c>
      <c r="BC433" s="5" t="str">
        <f>""</f>
        <v/>
      </c>
      <c r="BD433" s="5" t="str">
        <f>""</f>
        <v/>
      </c>
      <c r="BE433" s="5" t="str">
        <f>""</f>
        <v/>
      </c>
      <c r="BF433" s="5" t="str">
        <f>""</f>
        <v/>
      </c>
      <c r="BG433" s="5" t="str">
        <f>""</f>
        <v/>
      </c>
      <c r="BH433" s="5" t="str">
        <f>""</f>
        <v/>
      </c>
      <c r="BI433" s="5" t="str">
        <f>""</f>
        <v/>
      </c>
      <c r="BJ433" s="5" t="str">
        <f>""</f>
        <v/>
      </c>
      <c r="BK433" s="5" t="str">
        <f>""</f>
        <v/>
      </c>
      <c r="BL433" s="5" t="str">
        <f>""</f>
        <v/>
      </c>
      <c r="BM433" s="5" t="str">
        <f>""</f>
        <v/>
      </c>
      <c r="BN433" s="5" t="str">
        <f>""</f>
        <v/>
      </c>
      <c r="BO433" s="5" t="str">
        <f>""</f>
        <v/>
      </c>
      <c r="BP433" s="5" t="str">
        <f>""</f>
        <v/>
      </c>
      <c r="BQ433" s="5" t="str">
        <f>""</f>
        <v/>
      </c>
      <c r="BR433" s="5" t="str">
        <f>""</f>
        <v/>
      </c>
      <c r="BS433" s="5" t="str">
        <f>"65,00"</f>
        <v>65,00</v>
      </c>
      <c r="BT433" s="5" t="str">
        <f>"2020"</f>
        <v>2020</v>
      </c>
      <c r="BU433" s="5" t="str">
        <f t="shared" si="689"/>
        <v>нет</v>
      </c>
      <c r="BV433" s="5" t="str">
        <f t="shared" si="683"/>
        <v>x</v>
      </c>
      <c r="BW433" s="5" t="str">
        <f t="shared" si="683"/>
        <v>x</v>
      </c>
      <c r="BX433" s="5" t="str">
        <f t="shared" si="683"/>
        <v>x</v>
      </c>
      <c r="BY433" s="5" t="str">
        <f t="shared" si="674"/>
        <v>нет</v>
      </c>
      <c r="BZ433" s="5" t="str">
        <f t="shared" si="681"/>
        <v>x</v>
      </c>
      <c r="CA433" s="5" t="str">
        <f t="shared" si="682"/>
        <v>x</v>
      </c>
      <c r="CB433" s="5" t="str">
        <f t="shared" si="682"/>
        <v>x</v>
      </c>
      <c r="CC433" s="5" t="str">
        <f>""</f>
        <v/>
      </c>
      <c r="CD433" s="5" t="str">
        <f>"45,00"</f>
        <v>45,00</v>
      </c>
      <c r="CE433" s="5" t="str">
        <f>"2020"</f>
        <v>2020</v>
      </c>
      <c r="CF433" s="5" t="str">
        <f>""</f>
        <v/>
      </c>
      <c r="CG433" s="5" t="str">
        <f>"50,00"</f>
        <v>50,00</v>
      </c>
      <c r="CH433" s="5" t="str">
        <f>"2020"</f>
        <v>2020</v>
      </c>
      <c r="CI433" s="5" t="str">
        <f>"65,00"</f>
        <v>65,00</v>
      </c>
      <c r="CJ433" s="5" t="str">
        <f>"2018"</f>
        <v>2018</v>
      </c>
    </row>
    <row r="434" spans="1:88" ht="11.25" customHeight="1">
      <c r="A434" s="3" t="str">
        <f>"1.421"</f>
        <v>1.421</v>
      </c>
      <c r="B434" s="4" t="str">
        <f>"м. Корнильево, д.11"</f>
        <v>м. Корнильево, д.11</v>
      </c>
      <c r="C434" s="7" t="str">
        <f>"1975"</f>
        <v>1975</v>
      </c>
      <c r="D434" s="5" t="str">
        <f t="shared" si="690"/>
        <v>х</v>
      </c>
      <c r="E434" s="5" t="str">
        <f t="shared" si="690"/>
        <v>х</v>
      </c>
      <c r="F434" s="5" t="str">
        <f t="shared" si="690"/>
        <v>х</v>
      </c>
      <c r="G434" s="5" t="str">
        <f t="shared" si="690"/>
        <v>х</v>
      </c>
      <c r="H434" s="5" t="str">
        <f t="shared" si="690"/>
        <v>х</v>
      </c>
      <c r="I434" s="5" t="str">
        <f t="shared" si="690"/>
        <v>х</v>
      </c>
      <c r="J434" s="5" t="str">
        <f t="shared" si="690"/>
        <v>х</v>
      </c>
      <c r="K434" s="5" t="str">
        <f t="shared" si="690"/>
        <v>х</v>
      </c>
      <c r="L434" s="5" t="str">
        <f t="shared" si="690"/>
        <v>х</v>
      </c>
      <c r="M434" s="5" t="str">
        <f t="shared" si="690"/>
        <v>х</v>
      </c>
      <c r="N434" s="5" t="str">
        <f t="shared" si="690"/>
        <v>х</v>
      </c>
      <c r="O434" s="8" t="str">
        <f>""</f>
        <v/>
      </c>
      <c r="P434" s="5" t="str">
        <f>"65,00"</f>
        <v>65,00</v>
      </c>
      <c r="Q434" s="5" t="str">
        <f>"2019"</f>
        <v>2019</v>
      </c>
      <c r="R434" s="5" t="str">
        <f t="shared" si="691"/>
        <v>нет</v>
      </c>
      <c r="S434" s="5" t="str">
        <f>""</f>
        <v/>
      </c>
      <c r="T434" s="5" t="str">
        <f>""</f>
        <v/>
      </c>
      <c r="U434" s="5" t="str">
        <f>""</f>
        <v/>
      </c>
      <c r="V434" s="5" t="str">
        <f t="shared" si="692"/>
        <v>нет</v>
      </c>
      <c r="W434" s="5" t="str">
        <f>""</f>
        <v/>
      </c>
      <c r="X434" s="5" t="str">
        <f>""</f>
        <v/>
      </c>
      <c r="Y434" s="9" t="str">
        <f>""</f>
        <v/>
      </c>
      <c r="Z434" s="5" t="str">
        <f>""</f>
        <v/>
      </c>
      <c r="AA434" s="5" t="str">
        <f>""</f>
        <v/>
      </c>
      <c r="AB434" s="5" t="str">
        <f>""</f>
        <v/>
      </c>
      <c r="AC434" s="5" t="str">
        <f>""</f>
        <v/>
      </c>
      <c r="AD434" s="5" t="str">
        <f>""</f>
        <v/>
      </c>
      <c r="AE434" s="5" t="str">
        <f>""</f>
        <v/>
      </c>
      <c r="AF434" s="5" t="str">
        <f>""</f>
        <v/>
      </c>
      <c r="AG434" s="5" t="str">
        <f>""</f>
        <v/>
      </c>
      <c r="AH434" s="5" t="str">
        <f>""</f>
        <v/>
      </c>
      <c r="AI434" s="5" t="str">
        <f>""</f>
        <v/>
      </c>
      <c r="AJ434" s="5" t="str">
        <f>""</f>
        <v/>
      </c>
      <c r="AK434" s="8" t="str">
        <f>""</f>
        <v/>
      </c>
      <c r="AL434" s="5" t="str">
        <f>"65,00"</f>
        <v>65,00</v>
      </c>
      <c r="AM434" s="5" t="str">
        <f>"2019"</f>
        <v>2019</v>
      </c>
      <c r="AN434" s="5" t="str">
        <f>"нет"</f>
        <v>нет</v>
      </c>
      <c r="AO434" s="5" t="str">
        <f>""</f>
        <v/>
      </c>
      <c r="AP434" s="5" t="str">
        <f>""</f>
        <v/>
      </c>
      <c r="AQ434" s="5" t="str">
        <f>""</f>
        <v/>
      </c>
      <c r="AR434" s="5" t="str">
        <f>"нет"</f>
        <v>нет</v>
      </c>
      <c r="AS434" s="5" t="str">
        <f>""</f>
        <v/>
      </c>
      <c r="AT434" s="5" t="str">
        <f>""</f>
        <v/>
      </c>
      <c r="AU434" s="5" t="str">
        <f>""</f>
        <v/>
      </c>
      <c r="AV434" s="5" t="str">
        <f>""</f>
        <v/>
      </c>
      <c r="AW434" s="5" t="str">
        <f>""</f>
        <v/>
      </c>
      <c r="AX434" s="5" t="str">
        <f>""</f>
        <v/>
      </c>
      <c r="AY434" s="5" t="str">
        <f>""</f>
        <v/>
      </c>
      <c r="AZ434" s="5" t="str">
        <f>""</f>
        <v/>
      </c>
      <c r="BA434" s="5" t="str">
        <f>""</f>
        <v/>
      </c>
      <c r="BB434" s="5" t="str">
        <f>""</f>
        <v/>
      </c>
      <c r="BC434" s="5" t="str">
        <f>""</f>
        <v/>
      </c>
      <c r="BD434" s="5" t="str">
        <f>""</f>
        <v/>
      </c>
      <c r="BE434" s="5" t="str">
        <f>""</f>
        <v/>
      </c>
      <c r="BF434" s="5" t="str">
        <f>""</f>
        <v/>
      </c>
      <c r="BG434" s="5" t="str">
        <f>""</f>
        <v/>
      </c>
      <c r="BH434" s="5" t="str">
        <f>"65,00"</f>
        <v>65,00</v>
      </c>
      <c r="BI434" s="5" t="str">
        <f>"2019"</f>
        <v>2019</v>
      </c>
      <c r="BJ434" s="5" t="str">
        <f>"нет"</f>
        <v>нет</v>
      </c>
      <c r="BK434" s="5" t="str">
        <f>""</f>
        <v/>
      </c>
      <c r="BL434" s="5" t="str">
        <f>""</f>
        <v/>
      </c>
      <c r="BM434" s="5" t="str">
        <f>""</f>
        <v/>
      </c>
      <c r="BN434" s="5" t="str">
        <f>"нет"</f>
        <v>нет</v>
      </c>
      <c r="BO434" s="5" t="str">
        <f>""</f>
        <v/>
      </c>
      <c r="BP434" s="5" t="str">
        <f>""</f>
        <v/>
      </c>
      <c r="BQ434" s="5" t="str">
        <f>""</f>
        <v/>
      </c>
      <c r="BR434" s="5" t="str">
        <f>""</f>
        <v/>
      </c>
      <c r="BS434" s="5" t="str">
        <f>"65,00"</f>
        <v>65,00</v>
      </c>
      <c r="BT434" s="5" t="str">
        <f>"2019"</f>
        <v>2019</v>
      </c>
      <c r="BU434" s="5" t="str">
        <f t="shared" si="689"/>
        <v>нет</v>
      </c>
      <c r="BV434" s="5" t="str">
        <f t="shared" si="683"/>
        <v>x</v>
      </c>
      <c r="BW434" s="5" t="str">
        <f t="shared" si="683"/>
        <v>x</v>
      </c>
      <c r="BX434" s="5" t="str">
        <f t="shared" si="683"/>
        <v>x</v>
      </c>
      <c r="BY434" s="5" t="str">
        <f t="shared" si="674"/>
        <v>нет</v>
      </c>
      <c r="BZ434" s="5" t="str">
        <f t="shared" si="681"/>
        <v>x</v>
      </c>
      <c r="CA434" s="5" t="str">
        <f t="shared" si="682"/>
        <v>x</v>
      </c>
      <c r="CB434" s="5" t="str">
        <f t="shared" si="682"/>
        <v>x</v>
      </c>
      <c r="CC434" s="5" t="str">
        <f>""</f>
        <v/>
      </c>
      <c r="CD434" s="5" t="str">
        <f>"60,00"</f>
        <v>60,00</v>
      </c>
      <c r="CE434" s="5" t="str">
        <f>"2017"</f>
        <v>2017</v>
      </c>
      <c r="CF434" s="5" t="str">
        <f>""</f>
        <v/>
      </c>
      <c r="CG434" s="5" t="str">
        <f>"60,00"</f>
        <v>60,00</v>
      </c>
      <c r="CH434" s="5" t="str">
        <f>"2017"</f>
        <v>2017</v>
      </c>
      <c r="CI434" s="5" t="str">
        <f>"65,00"</f>
        <v>65,00</v>
      </c>
      <c r="CJ434" s="5" t="str">
        <f>"2019"</f>
        <v>2019</v>
      </c>
    </row>
    <row r="435" spans="1:88" ht="11.25" customHeight="1">
      <c r="A435" s="3" t="str">
        <f>"1.422"</f>
        <v>1.422</v>
      </c>
      <c r="B435" s="4" t="str">
        <f>"м. Корнильево, д.12"</f>
        <v>м. Корнильево, д.12</v>
      </c>
      <c r="C435" s="7" t="str">
        <f>"1970"</f>
        <v>1970</v>
      </c>
      <c r="D435" s="5" t="str">
        <f>""</f>
        <v/>
      </c>
      <c r="E435" s="5" t="str">
        <f>"50,00"</f>
        <v>50,00</v>
      </c>
      <c r="F435" s="5" t="str">
        <f>"2016"</f>
        <v>2016</v>
      </c>
      <c r="G435" s="5" t="str">
        <f>"нет"</f>
        <v>нет</v>
      </c>
      <c r="H435" s="5" t="str">
        <f>""</f>
        <v/>
      </c>
      <c r="I435" s="5" t="str">
        <f>""</f>
        <v/>
      </c>
      <c r="J435" s="5" t="str">
        <f>""</f>
        <v/>
      </c>
      <c r="K435" s="5" t="str">
        <f t="shared" ref="K435:K446" si="693">"нет"</f>
        <v>нет</v>
      </c>
      <c r="L435" s="5" t="str">
        <f>""</f>
        <v/>
      </c>
      <c r="M435" s="5" t="str">
        <f>""</f>
        <v/>
      </c>
      <c r="N435" s="5" t="str">
        <f>""</f>
        <v/>
      </c>
      <c r="O435" s="8" t="str">
        <f>""</f>
        <v/>
      </c>
      <c r="P435" s="5" t="str">
        <f>"50,00"</f>
        <v>50,00</v>
      </c>
      <c r="Q435" s="5" t="str">
        <f>"2017"</f>
        <v>2017</v>
      </c>
      <c r="R435" s="5" t="str">
        <f t="shared" si="691"/>
        <v>нет</v>
      </c>
      <c r="S435" s="5" t="str">
        <f>""</f>
        <v/>
      </c>
      <c r="T435" s="5" t="str">
        <f>""</f>
        <v/>
      </c>
      <c r="U435" s="5" t="str">
        <f>""</f>
        <v/>
      </c>
      <c r="V435" s="5" t="str">
        <f t="shared" si="692"/>
        <v>нет</v>
      </c>
      <c r="W435" s="5" t="str">
        <f>""</f>
        <v/>
      </c>
      <c r="X435" s="5" t="str">
        <f>""</f>
        <v/>
      </c>
      <c r="Y435" s="9" t="str">
        <f>""</f>
        <v/>
      </c>
      <c r="Z435" s="5" t="str">
        <f>""</f>
        <v/>
      </c>
      <c r="AA435" s="5" t="str">
        <f>""</f>
        <v/>
      </c>
      <c r="AB435" s="5" t="str">
        <f>""</f>
        <v/>
      </c>
      <c r="AC435" s="5" t="str">
        <f>""</f>
        <v/>
      </c>
      <c r="AD435" s="5" t="str">
        <f>""</f>
        <v/>
      </c>
      <c r="AE435" s="5" t="str">
        <f>""</f>
        <v/>
      </c>
      <c r="AF435" s="5" t="str">
        <f>""</f>
        <v/>
      </c>
      <c r="AG435" s="5" t="str">
        <f>""</f>
        <v/>
      </c>
      <c r="AH435" s="5" t="str">
        <f>""</f>
        <v/>
      </c>
      <c r="AI435" s="5" t="str">
        <f>""</f>
        <v/>
      </c>
      <c r="AJ435" s="5" t="str">
        <f>""</f>
        <v/>
      </c>
      <c r="AK435" s="8" t="str">
        <f t="shared" ref="AK435:AT436" si="694">"х"</f>
        <v>х</v>
      </c>
      <c r="AL435" s="5" t="str">
        <f t="shared" si="694"/>
        <v>х</v>
      </c>
      <c r="AM435" s="5" t="str">
        <f t="shared" si="694"/>
        <v>х</v>
      </c>
      <c r="AN435" s="5" t="str">
        <f t="shared" si="694"/>
        <v>х</v>
      </c>
      <c r="AO435" s="5" t="str">
        <f t="shared" si="694"/>
        <v>х</v>
      </c>
      <c r="AP435" s="5" t="str">
        <f t="shared" si="694"/>
        <v>х</v>
      </c>
      <c r="AQ435" s="5" t="str">
        <f t="shared" si="694"/>
        <v>х</v>
      </c>
      <c r="AR435" s="5" t="str">
        <f t="shared" si="694"/>
        <v>х</v>
      </c>
      <c r="AS435" s="5" t="str">
        <f t="shared" si="694"/>
        <v>х</v>
      </c>
      <c r="AT435" s="5" t="str">
        <f t="shared" si="694"/>
        <v>х</v>
      </c>
      <c r="AU435" s="5" t="str">
        <f t="shared" ref="AU435:BD436" si="695">"х"</f>
        <v>х</v>
      </c>
      <c r="AV435" s="5" t="str">
        <f t="shared" si="695"/>
        <v>х</v>
      </c>
      <c r="AW435" s="5" t="str">
        <f t="shared" si="695"/>
        <v>х</v>
      </c>
      <c r="AX435" s="5" t="str">
        <f t="shared" si="695"/>
        <v>х</v>
      </c>
      <c r="AY435" s="5" t="str">
        <f t="shared" si="695"/>
        <v>х</v>
      </c>
      <c r="AZ435" s="5" t="str">
        <f t="shared" si="695"/>
        <v>х</v>
      </c>
      <c r="BA435" s="5" t="str">
        <f t="shared" si="695"/>
        <v>х</v>
      </c>
      <c r="BB435" s="5" t="str">
        <f t="shared" si="695"/>
        <v>х</v>
      </c>
      <c r="BC435" s="5" t="str">
        <f t="shared" si="695"/>
        <v>х</v>
      </c>
      <c r="BD435" s="5" t="str">
        <f t="shared" si="695"/>
        <v>х</v>
      </c>
      <c r="BE435" s="5" t="str">
        <f t="shared" ref="BE435:BQ436" si="696">"х"</f>
        <v>х</v>
      </c>
      <c r="BF435" s="5" t="str">
        <f t="shared" si="696"/>
        <v>х</v>
      </c>
      <c r="BG435" s="5" t="str">
        <f t="shared" si="696"/>
        <v>х</v>
      </c>
      <c r="BH435" s="5" t="str">
        <f t="shared" si="696"/>
        <v>х</v>
      </c>
      <c r="BI435" s="5" t="str">
        <f t="shared" si="696"/>
        <v>х</v>
      </c>
      <c r="BJ435" s="5" t="str">
        <f t="shared" si="696"/>
        <v>х</v>
      </c>
      <c r="BK435" s="5" t="str">
        <f t="shared" si="696"/>
        <v>х</v>
      </c>
      <c r="BL435" s="5" t="str">
        <f t="shared" si="696"/>
        <v>х</v>
      </c>
      <c r="BM435" s="5" t="str">
        <f t="shared" si="696"/>
        <v>х</v>
      </c>
      <c r="BN435" s="5" t="str">
        <f t="shared" si="696"/>
        <v>х</v>
      </c>
      <c r="BO435" s="5" t="str">
        <f t="shared" si="696"/>
        <v>х</v>
      </c>
      <c r="BP435" s="5" t="str">
        <f t="shared" si="696"/>
        <v>х</v>
      </c>
      <c r="BQ435" s="5" t="str">
        <f t="shared" si="696"/>
        <v>х</v>
      </c>
      <c r="BR435" s="5" t="str">
        <f>""</f>
        <v/>
      </c>
      <c r="BS435" s="5" t="str">
        <f>"55,00"</f>
        <v>55,00</v>
      </c>
      <c r="BT435" s="5" t="str">
        <f>"2018"</f>
        <v>2018</v>
      </c>
      <c r="BU435" s="5" t="str">
        <f t="shared" si="689"/>
        <v>нет</v>
      </c>
      <c r="BV435" s="5" t="str">
        <f t="shared" si="683"/>
        <v>x</v>
      </c>
      <c r="BW435" s="5" t="str">
        <f t="shared" si="683"/>
        <v>x</v>
      </c>
      <c r="BX435" s="5" t="str">
        <f t="shared" si="683"/>
        <v>x</v>
      </c>
      <c r="BY435" s="5" t="str">
        <f t="shared" si="674"/>
        <v>нет</v>
      </c>
      <c r="BZ435" s="5" t="str">
        <f t="shared" si="681"/>
        <v>x</v>
      </c>
      <c r="CA435" s="5" t="str">
        <f t="shared" si="682"/>
        <v>x</v>
      </c>
      <c r="CB435" s="5" t="str">
        <f t="shared" si="682"/>
        <v>x</v>
      </c>
      <c r="CC435" s="5" t="str">
        <f>""</f>
        <v/>
      </c>
      <c r="CD435" s="5" t="str">
        <f>"55,00"</f>
        <v>55,00</v>
      </c>
      <c r="CE435" s="5" t="str">
        <f>"2018"</f>
        <v>2018</v>
      </c>
      <c r="CF435" s="5" t="str">
        <f>""</f>
        <v/>
      </c>
      <c r="CG435" s="5" t="str">
        <f>"60,00"</f>
        <v>60,00</v>
      </c>
      <c r="CH435" s="5" t="str">
        <f>"2017"</f>
        <v>2017</v>
      </c>
      <c r="CI435" s="5" t="str">
        <f>"65,00"</f>
        <v>65,00</v>
      </c>
      <c r="CJ435" s="5" t="str">
        <f>"2019"</f>
        <v>2019</v>
      </c>
    </row>
    <row r="436" spans="1:88" ht="11.25" customHeight="1">
      <c r="A436" s="3" t="str">
        <f>"1.423"</f>
        <v>1.423</v>
      </c>
      <c r="B436" s="4" t="str">
        <f>"м. Корнильево, д.16"</f>
        <v>м. Корнильево, д.16</v>
      </c>
      <c r="C436" s="7" t="str">
        <f>"1970"</f>
        <v>1970</v>
      </c>
      <c r="D436" s="5" t="str">
        <f>""</f>
        <v/>
      </c>
      <c r="E436" s="5" t="str">
        <f>"65,00"</f>
        <v>65,00</v>
      </c>
      <c r="F436" s="5" t="str">
        <f>"2016"</f>
        <v>2016</v>
      </c>
      <c r="G436" s="5" t="str">
        <f>"нет"</f>
        <v>нет</v>
      </c>
      <c r="H436" s="5" t="str">
        <f>""</f>
        <v/>
      </c>
      <c r="I436" s="5" t="str">
        <f>""</f>
        <v/>
      </c>
      <c r="J436" s="5" t="str">
        <f>""</f>
        <v/>
      </c>
      <c r="K436" s="5" t="str">
        <f t="shared" si="693"/>
        <v>нет</v>
      </c>
      <c r="L436" s="5" t="str">
        <f>""</f>
        <v/>
      </c>
      <c r="M436" s="5" t="str">
        <f>""</f>
        <v/>
      </c>
      <c r="N436" s="5" t="str">
        <f>""</f>
        <v/>
      </c>
      <c r="O436" s="8" t="str">
        <f>""</f>
        <v/>
      </c>
      <c r="P436" s="5" t="str">
        <f>"65,00"</f>
        <v>65,00</v>
      </c>
      <c r="Q436" s="5" t="str">
        <f>"2019"</f>
        <v>2019</v>
      </c>
      <c r="R436" s="5" t="str">
        <f t="shared" si="691"/>
        <v>нет</v>
      </c>
      <c r="S436" s="5" t="str">
        <f>""</f>
        <v/>
      </c>
      <c r="T436" s="5" t="str">
        <f>""</f>
        <v/>
      </c>
      <c r="U436" s="5" t="str">
        <f>""</f>
        <v/>
      </c>
      <c r="V436" s="5" t="str">
        <f t="shared" si="692"/>
        <v>нет</v>
      </c>
      <c r="W436" s="5" t="str">
        <f>""</f>
        <v/>
      </c>
      <c r="X436" s="5" t="str">
        <f>""</f>
        <v/>
      </c>
      <c r="Y436" s="9" t="str">
        <f>""</f>
        <v/>
      </c>
      <c r="Z436" s="5" t="str">
        <f>""</f>
        <v/>
      </c>
      <c r="AA436" s="5" t="str">
        <f>""</f>
        <v/>
      </c>
      <c r="AB436" s="5" t="str">
        <f>""</f>
        <v/>
      </c>
      <c r="AC436" s="5" t="str">
        <f>""</f>
        <v/>
      </c>
      <c r="AD436" s="5" t="str">
        <f>""</f>
        <v/>
      </c>
      <c r="AE436" s="5" t="str">
        <f>""</f>
        <v/>
      </c>
      <c r="AF436" s="5" t="str">
        <f>""</f>
        <v/>
      </c>
      <c r="AG436" s="5" t="str">
        <f>""</f>
        <v/>
      </c>
      <c r="AH436" s="5" t="str">
        <f>""</f>
        <v/>
      </c>
      <c r="AI436" s="5" t="str">
        <f>""</f>
        <v/>
      </c>
      <c r="AJ436" s="5" t="str">
        <f>""</f>
        <v/>
      </c>
      <c r="AK436" s="8" t="str">
        <f t="shared" si="694"/>
        <v>х</v>
      </c>
      <c r="AL436" s="5" t="str">
        <f t="shared" si="694"/>
        <v>х</v>
      </c>
      <c r="AM436" s="5" t="str">
        <f t="shared" si="694"/>
        <v>х</v>
      </c>
      <c r="AN436" s="5" t="str">
        <f t="shared" si="694"/>
        <v>х</v>
      </c>
      <c r="AO436" s="5" t="str">
        <f t="shared" si="694"/>
        <v>х</v>
      </c>
      <c r="AP436" s="5" t="str">
        <f t="shared" si="694"/>
        <v>х</v>
      </c>
      <c r="AQ436" s="5" t="str">
        <f t="shared" si="694"/>
        <v>х</v>
      </c>
      <c r="AR436" s="5" t="str">
        <f t="shared" si="694"/>
        <v>х</v>
      </c>
      <c r="AS436" s="5" t="str">
        <f t="shared" si="694"/>
        <v>х</v>
      </c>
      <c r="AT436" s="5" t="str">
        <f t="shared" si="694"/>
        <v>х</v>
      </c>
      <c r="AU436" s="5" t="str">
        <f t="shared" si="695"/>
        <v>х</v>
      </c>
      <c r="AV436" s="5" t="str">
        <f t="shared" si="695"/>
        <v>х</v>
      </c>
      <c r="AW436" s="5" t="str">
        <f t="shared" si="695"/>
        <v>х</v>
      </c>
      <c r="AX436" s="5" t="str">
        <f t="shared" si="695"/>
        <v>х</v>
      </c>
      <c r="AY436" s="5" t="str">
        <f t="shared" si="695"/>
        <v>х</v>
      </c>
      <c r="AZ436" s="5" t="str">
        <f t="shared" si="695"/>
        <v>х</v>
      </c>
      <c r="BA436" s="5" t="str">
        <f t="shared" si="695"/>
        <v>х</v>
      </c>
      <c r="BB436" s="5" t="str">
        <f t="shared" si="695"/>
        <v>х</v>
      </c>
      <c r="BC436" s="5" t="str">
        <f t="shared" si="695"/>
        <v>х</v>
      </c>
      <c r="BD436" s="5" t="str">
        <f t="shared" si="695"/>
        <v>х</v>
      </c>
      <c r="BE436" s="5" t="str">
        <f t="shared" si="696"/>
        <v>х</v>
      </c>
      <c r="BF436" s="5" t="str">
        <f t="shared" si="696"/>
        <v>х</v>
      </c>
      <c r="BG436" s="5" t="str">
        <f t="shared" si="696"/>
        <v>х</v>
      </c>
      <c r="BH436" s="5" t="str">
        <f t="shared" si="696"/>
        <v>х</v>
      </c>
      <c r="BI436" s="5" t="str">
        <f t="shared" si="696"/>
        <v>х</v>
      </c>
      <c r="BJ436" s="5" t="str">
        <f t="shared" si="696"/>
        <v>х</v>
      </c>
      <c r="BK436" s="5" t="str">
        <f t="shared" si="696"/>
        <v>х</v>
      </c>
      <c r="BL436" s="5" t="str">
        <f t="shared" si="696"/>
        <v>х</v>
      </c>
      <c r="BM436" s="5" t="str">
        <f t="shared" si="696"/>
        <v>х</v>
      </c>
      <c r="BN436" s="5" t="str">
        <f t="shared" si="696"/>
        <v>х</v>
      </c>
      <c r="BO436" s="5" t="str">
        <f t="shared" si="696"/>
        <v>х</v>
      </c>
      <c r="BP436" s="5" t="str">
        <f t="shared" si="696"/>
        <v>х</v>
      </c>
      <c r="BQ436" s="5" t="str">
        <f t="shared" si="696"/>
        <v>х</v>
      </c>
      <c r="BR436" s="5" t="str">
        <f>""</f>
        <v/>
      </c>
      <c r="BS436" s="5" t="str">
        <f>"65,00"</f>
        <v>65,00</v>
      </c>
      <c r="BT436" s="5" t="str">
        <f>"2019"</f>
        <v>2019</v>
      </c>
      <c r="BU436" s="5" t="str">
        <f t="shared" si="689"/>
        <v>нет</v>
      </c>
      <c r="BV436" s="5" t="str">
        <f t="shared" si="683"/>
        <v>x</v>
      </c>
      <c r="BW436" s="5" t="str">
        <f t="shared" si="683"/>
        <v>x</v>
      </c>
      <c r="BX436" s="5" t="str">
        <f t="shared" si="683"/>
        <v>x</v>
      </c>
      <c r="BY436" s="5" t="str">
        <f t="shared" si="674"/>
        <v>нет</v>
      </c>
      <c r="BZ436" s="5" t="str">
        <f t="shared" si="681"/>
        <v>x</v>
      </c>
      <c r="CA436" s="5" t="str">
        <f t="shared" si="682"/>
        <v>x</v>
      </c>
      <c r="CB436" s="5" t="str">
        <f t="shared" si="682"/>
        <v>x</v>
      </c>
      <c r="CC436" s="5" t="str">
        <f>""</f>
        <v/>
      </c>
      <c r="CD436" s="5" t="str">
        <f>"65,00"</f>
        <v>65,00</v>
      </c>
      <c r="CE436" s="5" t="str">
        <f>"2019"</f>
        <v>2019</v>
      </c>
      <c r="CF436" s="5" t="str">
        <f>""</f>
        <v/>
      </c>
      <c r="CG436" s="5" t="str">
        <f>"65,00"</f>
        <v>65,00</v>
      </c>
      <c r="CH436" s="5" t="str">
        <f>"2019"</f>
        <v>2019</v>
      </c>
      <c r="CI436" s="5" t="str">
        <f>"65,00"</f>
        <v>65,00</v>
      </c>
      <c r="CJ436" s="5" t="str">
        <f>"2016"</f>
        <v>2016</v>
      </c>
    </row>
    <row r="437" spans="1:88" ht="11.25" customHeight="1">
      <c r="A437" s="3" t="str">
        <f>"1.424"</f>
        <v>1.424</v>
      </c>
      <c r="B437" s="4" t="str">
        <f>"м. Корнильево, д.2"</f>
        <v>м. Корнильево, д.2</v>
      </c>
      <c r="C437" s="7" t="str">
        <f>"1990"</f>
        <v>1990</v>
      </c>
      <c r="D437" s="5" t="str">
        <f>""</f>
        <v/>
      </c>
      <c r="E437" s="5" t="str">
        <f>"30,00"</f>
        <v>30,00</v>
      </c>
      <c r="F437" s="5" t="str">
        <f>"2023"</f>
        <v>2023</v>
      </c>
      <c r="G437" s="5" t="str">
        <f>"нет"</f>
        <v>нет</v>
      </c>
      <c r="H437" s="5" t="str">
        <f>""</f>
        <v/>
      </c>
      <c r="I437" s="5" t="str">
        <f>""</f>
        <v/>
      </c>
      <c r="J437" s="5" t="str">
        <f>""</f>
        <v/>
      </c>
      <c r="K437" s="5" t="str">
        <f t="shared" si="693"/>
        <v>нет</v>
      </c>
      <c r="L437" s="5" t="str">
        <f>""</f>
        <v/>
      </c>
      <c r="M437" s="5" t="str">
        <f>""</f>
        <v/>
      </c>
      <c r="N437" s="5" t="str">
        <f>""</f>
        <v/>
      </c>
      <c r="O437" s="8" t="str">
        <f>""</f>
        <v/>
      </c>
      <c r="P437" s="5" t="str">
        <f>"30,00"</f>
        <v>30,00</v>
      </c>
      <c r="Q437" s="5" t="str">
        <f>"2023"</f>
        <v>2023</v>
      </c>
      <c r="R437" s="5" t="str">
        <f t="shared" si="691"/>
        <v>нет</v>
      </c>
      <c r="S437" s="5" t="str">
        <f>""</f>
        <v/>
      </c>
      <c r="T437" s="5" t="str">
        <f>""</f>
        <v/>
      </c>
      <c r="U437" s="5" t="str">
        <f>""</f>
        <v/>
      </c>
      <c r="V437" s="5" t="str">
        <f t="shared" si="692"/>
        <v>нет</v>
      </c>
      <c r="W437" s="5" t="str">
        <f>""</f>
        <v/>
      </c>
      <c r="X437" s="5" t="str">
        <f>""</f>
        <v/>
      </c>
      <c r="Y437" s="9" t="str">
        <f>""</f>
        <v/>
      </c>
      <c r="Z437" s="5" t="str">
        <f>""</f>
        <v/>
      </c>
      <c r="AA437" s="5" t="str">
        <f>""</f>
        <v/>
      </c>
      <c r="AB437" s="5" t="str">
        <f>""</f>
        <v/>
      </c>
      <c r="AC437" s="5" t="str">
        <f>""</f>
        <v/>
      </c>
      <c r="AD437" s="5" t="str">
        <f>""</f>
        <v/>
      </c>
      <c r="AE437" s="5" t="str">
        <f>""</f>
        <v/>
      </c>
      <c r="AF437" s="5" t="str">
        <f>""</f>
        <v/>
      </c>
      <c r="AG437" s="5" t="str">
        <f>""</f>
        <v/>
      </c>
      <c r="AH437" s="5" t="str">
        <f>""</f>
        <v/>
      </c>
      <c r="AI437" s="5" t="str">
        <f>""</f>
        <v/>
      </c>
      <c r="AJ437" s="5" t="str">
        <f>""</f>
        <v/>
      </c>
      <c r="AK437" s="8" t="str">
        <f>""</f>
        <v/>
      </c>
      <c r="AL437" s="5" t="str">
        <f>"30,00"</f>
        <v>30,00</v>
      </c>
      <c r="AM437" s="5" t="str">
        <f>"2019"</f>
        <v>2019</v>
      </c>
      <c r="AN437" s="5" t="str">
        <f>"нет"</f>
        <v>нет</v>
      </c>
      <c r="AO437" s="5" t="str">
        <f>""</f>
        <v/>
      </c>
      <c r="AP437" s="5" t="str">
        <f>""</f>
        <v/>
      </c>
      <c r="AQ437" s="5" t="str">
        <f>""</f>
        <v/>
      </c>
      <c r="AR437" s="5" t="str">
        <f>"нет"</f>
        <v>нет</v>
      </c>
      <c r="AS437" s="5" t="str">
        <f>""</f>
        <v/>
      </c>
      <c r="AT437" s="5" t="str">
        <f>""</f>
        <v/>
      </c>
      <c r="AU437" s="5" t="str">
        <f>""</f>
        <v/>
      </c>
      <c r="AV437" s="5" t="str">
        <f>""</f>
        <v/>
      </c>
      <c r="AW437" s="5" t="str">
        <f>""</f>
        <v/>
      </c>
      <c r="AX437" s="5" t="str">
        <f>""</f>
        <v/>
      </c>
      <c r="AY437" s="5" t="str">
        <f>""</f>
        <v/>
      </c>
      <c r="AZ437" s="5" t="str">
        <f>""</f>
        <v/>
      </c>
      <c r="BA437" s="5" t="str">
        <f>""</f>
        <v/>
      </c>
      <c r="BB437" s="5" t="str">
        <f>""</f>
        <v/>
      </c>
      <c r="BC437" s="5" t="str">
        <f>""</f>
        <v/>
      </c>
      <c r="BD437" s="5" t="str">
        <f>""</f>
        <v/>
      </c>
      <c r="BE437" s="5" t="str">
        <f>""</f>
        <v/>
      </c>
      <c r="BF437" s="5" t="str">
        <f>""</f>
        <v/>
      </c>
      <c r="BG437" s="5" t="str">
        <f>""</f>
        <v/>
      </c>
      <c r="BH437" s="5" t="str">
        <f>"30,00"</f>
        <v>30,00</v>
      </c>
      <c r="BI437" s="5" t="str">
        <f>"2019"</f>
        <v>2019</v>
      </c>
      <c r="BJ437" s="5" t="str">
        <f>"нет"</f>
        <v>нет</v>
      </c>
      <c r="BK437" s="5" t="str">
        <f>""</f>
        <v/>
      </c>
      <c r="BL437" s="5" t="str">
        <f>""</f>
        <v/>
      </c>
      <c r="BM437" s="5" t="str">
        <f>""</f>
        <v/>
      </c>
      <c r="BN437" s="5" t="str">
        <f>"нет"</f>
        <v>нет</v>
      </c>
      <c r="BO437" s="5" t="str">
        <f>""</f>
        <v/>
      </c>
      <c r="BP437" s="5" t="str">
        <f>""</f>
        <v/>
      </c>
      <c r="BQ437" s="5" t="str">
        <f>""</f>
        <v/>
      </c>
      <c r="BR437" s="5" t="str">
        <f>""</f>
        <v/>
      </c>
      <c r="BS437" s="5" t="str">
        <f>"30,00"</f>
        <v>30,00</v>
      </c>
      <c r="BT437" s="5" t="str">
        <f>"2019"</f>
        <v>2019</v>
      </c>
      <c r="BU437" s="5" t="str">
        <f t="shared" si="689"/>
        <v>нет</v>
      </c>
      <c r="BV437" s="5" t="str">
        <f t="shared" si="683"/>
        <v>x</v>
      </c>
      <c r="BW437" s="5" t="str">
        <f t="shared" si="683"/>
        <v>x</v>
      </c>
      <c r="BX437" s="5" t="str">
        <f t="shared" si="683"/>
        <v>x</v>
      </c>
      <c r="BY437" s="5" t="str">
        <f t="shared" si="674"/>
        <v>нет</v>
      </c>
      <c r="BZ437" s="5" t="str">
        <f t="shared" si="681"/>
        <v>x</v>
      </c>
      <c r="CA437" s="5" t="str">
        <f t="shared" si="682"/>
        <v>x</v>
      </c>
      <c r="CB437" s="5" t="str">
        <f t="shared" si="682"/>
        <v>x</v>
      </c>
      <c r="CC437" s="5" t="str">
        <f>""</f>
        <v/>
      </c>
      <c r="CD437" s="5" t="str">
        <f>"30,00"</f>
        <v>30,00</v>
      </c>
      <c r="CE437" s="5" t="str">
        <f>"2023"</f>
        <v>2023</v>
      </c>
      <c r="CF437" s="5" t="str">
        <f>""</f>
        <v/>
      </c>
      <c r="CG437" s="5" t="str">
        <f>"30,00"</f>
        <v>30,00</v>
      </c>
      <c r="CH437" s="5" t="str">
        <f>"2023"</f>
        <v>2023</v>
      </c>
      <c r="CI437" s="5" t="str">
        <f>"30,00"</f>
        <v>30,00</v>
      </c>
      <c r="CJ437" s="5" t="str">
        <f>"2023"</f>
        <v>2023</v>
      </c>
    </row>
    <row r="438" spans="1:88" ht="11.25" customHeight="1">
      <c r="A438" s="3" t="str">
        <f>"1.425"</f>
        <v>1.425</v>
      </c>
      <c r="B438" s="4" t="str">
        <f>"п. Бушуиха, ул. Центральная, д.10"</f>
        <v>п. Бушуиха, ул. Центральная, д.10</v>
      </c>
      <c r="C438" s="7" t="str">
        <f>"1987"</f>
        <v>1987</v>
      </c>
      <c r="D438" s="5" t="str">
        <f>"1987"</f>
        <v>1987</v>
      </c>
      <c r="E438" s="5" t="str">
        <f>"50,00"</f>
        <v>50,00</v>
      </c>
      <c r="F438" s="5" t="str">
        <f>"2028"</f>
        <v>2028</v>
      </c>
      <c r="G438" s="5" t="str">
        <f>"да"</f>
        <v>да</v>
      </c>
      <c r="H438" s="5" t="str">
        <f>"2011"</f>
        <v>2011</v>
      </c>
      <c r="I438" s="5" t="str">
        <f>"2,00"</f>
        <v>2,00</v>
      </c>
      <c r="J438" s="5" t="str">
        <f>"2040"</f>
        <v>2040</v>
      </c>
      <c r="K438" s="5" t="str">
        <f t="shared" si="693"/>
        <v>нет</v>
      </c>
      <c r="L438" s="5" t="str">
        <f>""</f>
        <v/>
      </c>
      <c r="M438" s="5" t="str">
        <f>""</f>
        <v/>
      </c>
      <c r="N438" s="5" t="str">
        <f>""</f>
        <v/>
      </c>
      <c r="O438" s="8" t="str">
        <f>"1987"</f>
        <v>1987</v>
      </c>
      <c r="P438" s="5" t="str">
        <f>"50,00"</f>
        <v>50,00</v>
      </c>
      <c r="Q438" s="5" t="str">
        <f>"2027"</f>
        <v>2027</v>
      </c>
      <c r="R438" s="5" t="str">
        <f t="shared" si="691"/>
        <v>нет</v>
      </c>
      <c r="S438" s="5" t="str">
        <f>""</f>
        <v/>
      </c>
      <c r="T438" s="5" t="str">
        <f>""</f>
        <v/>
      </c>
      <c r="U438" s="5" t="str">
        <f>""</f>
        <v/>
      </c>
      <c r="V438" s="5" t="str">
        <f t="shared" si="692"/>
        <v>нет</v>
      </c>
      <c r="W438" s="5" t="str">
        <f>""</f>
        <v/>
      </c>
      <c r="X438" s="5" t="str">
        <f>""</f>
        <v/>
      </c>
      <c r="Y438" s="9" t="str">
        <f>""</f>
        <v/>
      </c>
      <c r="Z438" s="5" t="str">
        <f>"1987"</f>
        <v>1987</v>
      </c>
      <c r="AA438" s="5" t="str">
        <f>"50,00"</f>
        <v>50,00</v>
      </c>
      <c r="AB438" s="5" t="str">
        <f>"2021"</f>
        <v>2021</v>
      </c>
      <c r="AC438" s="5" t="str">
        <f>"нет"</f>
        <v>нет</v>
      </c>
      <c r="AD438" s="5" t="str">
        <f>""</f>
        <v/>
      </c>
      <c r="AE438" s="5" t="str">
        <f>""</f>
        <v/>
      </c>
      <c r="AF438" s="5" t="str">
        <f>""</f>
        <v/>
      </c>
      <c r="AG438" s="5" t="str">
        <f>"нет"</f>
        <v>нет</v>
      </c>
      <c r="AH438" s="5" t="str">
        <f>""</f>
        <v/>
      </c>
      <c r="AI438" s="5" t="str">
        <f>""</f>
        <v/>
      </c>
      <c r="AJ438" s="5" t="str">
        <f>""</f>
        <v/>
      </c>
      <c r="AK438" s="8" t="str">
        <f>"1987"</f>
        <v>1987</v>
      </c>
      <c r="AL438" s="5" t="str">
        <f>"50,00"</f>
        <v>50,00</v>
      </c>
      <c r="AM438" s="5" t="str">
        <f>"2026"</f>
        <v>2026</v>
      </c>
      <c r="AN438" s="5" t="str">
        <f>"нет"</f>
        <v>нет</v>
      </c>
      <c r="AO438" s="5" t="str">
        <f>""</f>
        <v/>
      </c>
      <c r="AP438" s="5" t="str">
        <f>""</f>
        <v/>
      </c>
      <c r="AQ438" s="5" t="str">
        <f>""</f>
        <v/>
      </c>
      <c r="AR438" s="5" t="str">
        <f>"нет"</f>
        <v>нет</v>
      </c>
      <c r="AS438" s="5" t="str">
        <f>""</f>
        <v/>
      </c>
      <c r="AT438" s="5" t="str">
        <f>""</f>
        <v/>
      </c>
      <c r="AU438" s="5" t="str">
        <f>""</f>
        <v/>
      </c>
      <c r="AV438" s="5" t="str">
        <f>""</f>
        <v/>
      </c>
      <c r="AW438" s="5" t="str">
        <f>""</f>
        <v/>
      </c>
      <c r="AX438" s="5" t="str">
        <f>""</f>
        <v/>
      </c>
      <c r="AY438" s="5" t="str">
        <f>""</f>
        <v/>
      </c>
      <c r="AZ438" s="5" t="str">
        <f>""</f>
        <v/>
      </c>
      <c r="BA438" s="5" t="str">
        <f>""</f>
        <v/>
      </c>
      <c r="BB438" s="5" t="str">
        <f>""</f>
        <v/>
      </c>
      <c r="BC438" s="5" t="str">
        <f>""</f>
        <v/>
      </c>
      <c r="BD438" s="5" t="str">
        <f>""</f>
        <v/>
      </c>
      <c r="BE438" s="5" t="str">
        <f>""</f>
        <v/>
      </c>
      <c r="BF438" s="5" t="str">
        <f>""</f>
        <v/>
      </c>
      <c r="BG438" s="5" t="str">
        <f>"1987"</f>
        <v>1987</v>
      </c>
      <c r="BH438" s="5" t="str">
        <f>"50,00"</f>
        <v>50,00</v>
      </c>
      <c r="BI438" s="5" t="str">
        <f>"2023"</f>
        <v>2023</v>
      </c>
      <c r="BJ438" s="5" t="str">
        <f>"нет"</f>
        <v>нет</v>
      </c>
      <c r="BK438" s="5" t="str">
        <f>""</f>
        <v/>
      </c>
      <c r="BL438" s="5" t="str">
        <f>""</f>
        <v/>
      </c>
      <c r="BM438" s="5" t="str">
        <f>""</f>
        <v/>
      </c>
      <c r="BN438" s="5" t="str">
        <f>"нет"</f>
        <v>нет</v>
      </c>
      <c r="BO438" s="5" t="str">
        <f>""</f>
        <v/>
      </c>
      <c r="BP438" s="5" t="str">
        <f>""</f>
        <v/>
      </c>
      <c r="BQ438" s="5" t="str">
        <f>""</f>
        <v/>
      </c>
      <c r="BR438" s="5" t="str">
        <f>""</f>
        <v/>
      </c>
      <c r="BS438" s="5" t="str">
        <f>"50,00"</f>
        <v>50,00</v>
      </c>
      <c r="BT438" s="5" t="str">
        <f>"2016"</f>
        <v>2016</v>
      </c>
      <c r="BU438" s="5" t="str">
        <f t="shared" si="689"/>
        <v>нет</v>
      </c>
      <c r="BV438" s="5" t="str">
        <f t="shared" si="683"/>
        <v>x</v>
      </c>
      <c r="BW438" s="5" t="str">
        <f t="shared" si="683"/>
        <v>x</v>
      </c>
      <c r="BX438" s="5" t="str">
        <f t="shared" si="683"/>
        <v>x</v>
      </c>
      <c r="BY438" s="5" t="str">
        <f t="shared" si="674"/>
        <v>нет</v>
      </c>
      <c r="BZ438" s="5" t="str">
        <f t="shared" si="681"/>
        <v>x</v>
      </c>
      <c r="CA438" s="5" t="str">
        <f t="shared" si="682"/>
        <v>x</v>
      </c>
      <c r="CB438" s="5" t="str">
        <f t="shared" si="682"/>
        <v>x</v>
      </c>
      <c r="CC438" s="5" t="str">
        <f>"1987"</f>
        <v>1987</v>
      </c>
      <c r="CD438" s="5" t="str">
        <f>"50,00"</f>
        <v>50,00</v>
      </c>
      <c r="CE438" s="5" t="str">
        <f>"2020"</f>
        <v>2020</v>
      </c>
      <c r="CF438" s="5" t="str">
        <f>"1987"</f>
        <v>1987</v>
      </c>
      <c r="CG438" s="5" t="str">
        <f>"50,00"</f>
        <v>50,00</v>
      </c>
      <c r="CH438" s="5" t="str">
        <f>"2020"</f>
        <v>2020</v>
      </c>
      <c r="CI438" s="5" t="str">
        <f>"28,00"</f>
        <v>28,00</v>
      </c>
      <c r="CJ438" s="5" t="str">
        <f>"2043"</f>
        <v>2043</v>
      </c>
    </row>
    <row r="439" spans="1:88" ht="11.25" customHeight="1">
      <c r="A439" s="3" t="str">
        <f>"1.426"</f>
        <v>1.426</v>
      </c>
      <c r="B439" s="4" t="str">
        <f>"п. Бушуиха, ул. Центральная, д.10Б"</f>
        <v>п. Бушуиха, ул. Центральная, д.10Б</v>
      </c>
      <c r="C439" s="7" t="str">
        <f>"1965"</f>
        <v>1965</v>
      </c>
      <c r="D439" s="5" t="str">
        <f>"1965"</f>
        <v>1965</v>
      </c>
      <c r="E439" s="5" t="str">
        <f>"65,00"</f>
        <v>65,00</v>
      </c>
      <c r="F439" s="5" t="str">
        <f>"2019"</f>
        <v>2019</v>
      </c>
      <c r="G439" s="5" t="str">
        <f>"да"</f>
        <v>да</v>
      </c>
      <c r="H439" s="5" t="str">
        <f>"2011"</f>
        <v>2011</v>
      </c>
      <c r="I439" s="5" t="str">
        <f>"1,00"</f>
        <v>1,00</v>
      </c>
      <c r="J439" s="5" t="str">
        <f>"2025"</f>
        <v>2025</v>
      </c>
      <c r="K439" s="5" t="str">
        <f t="shared" si="693"/>
        <v>нет</v>
      </c>
      <c r="L439" s="5" t="str">
        <f>""</f>
        <v/>
      </c>
      <c r="M439" s="5" t="str">
        <f>""</f>
        <v/>
      </c>
      <c r="N439" s="5" t="str">
        <f>""</f>
        <v/>
      </c>
      <c r="O439" s="8" t="str">
        <f t="shared" ref="O439:AJ439" si="697">"х"</f>
        <v>х</v>
      </c>
      <c r="P439" s="5" t="str">
        <f t="shared" si="697"/>
        <v>х</v>
      </c>
      <c r="Q439" s="5" t="str">
        <f t="shared" si="697"/>
        <v>х</v>
      </c>
      <c r="R439" s="5" t="str">
        <f t="shared" si="697"/>
        <v>х</v>
      </c>
      <c r="S439" s="5" t="str">
        <f t="shared" si="697"/>
        <v>х</v>
      </c>
      <c r="T439" s="5" t="str">
        <f t="shared" si="697"/>
        <v>х</v>
      </c>
      <c r="U439" s="5" t="str">
        <f t="shared" si="697"/>
        <v>х</v>
      </c>
      <c r="V439" s="5" t="str">
        <f t="shared" si="697"/>
        <v>х</v>
      </c>
      <c r="W439" s="5" t="str">
        <f t="shared" si="697"/>
        <v>х</v>
      </c>
      <c r="X439" s="5" t="str">
        <f t="shared" si="697"/>
        <v>х</v>
      </c>
      <c r="Y439" s="9" t="str">
        <f t="shared" si="697"/>
        <v>х</v>
      </c>
      <c r="Z439" s="5" t="str">
        <f t="shared" si="697"/>
        <v>х</v>
      </c>
      <c r="AA439" s="5" t="str">
        <f t="shared" si="697"/>
        <v>х</v>
      </c>
      <c r="AB439" s="5" t="str">
        <f t="shared" si="697"/>
        <v>х</v>
      </c>
      <c r="AC439" s="5" t="str">
        <f t="shared" si="697"/>
        <v>х</v>
      </c>
      <c r="AD439" s="5" t="str">
        <f t="shared" si="697"/>
        <v>х</v>
      </c>
      <c r="AE439" s="5" t="str">
        <f t="shared" si="697"/>
        <v>х</v>
      </c>
      <c r="AF439" s="5" t="str">
        <f t="shared" si="697"/>
        <v>х</v>
      </c>
      <c r="AG439" s="5" t="str">
        <f t="shared" si="697"/>
        <v>х</v>
      </c>
      <c r="AH439" s="5" t="str">
        <f t="shared" si="697"/>
        <v>х</v>
      </c>
      <c r="AI439" s="5" t="str">
        <f t="shared" si="697"/>
        <v>х</v>
      </c>
      <c r="AJ439" s="5" t="str">
        <f t="shared" si="697"/>
        <v>х</v>
      </c>
      <c r="AK439" s="8" t="str">
        <f>"1990"</f>
        <v>1990</v>
      </c>
      <c r="AL439" s="5" t="str">
        <f>"50,00"</f>
        <v>50,00</v>
      </c>
      <c r="AM439" s="5" t="str">
        <f>"2019"</f>
        <v>2019</v>
      </c>
      <c r="AN439" s="5" t="str">
        <f>"нет"</f>
        <v>нет</v>
      </c>
      <c r="AO439" s="5" t="str">
        <f>""</f>
        <v/>
      </c>
      <c r="AP439" s="5" t="str">
        <f>""</f>
        <v/>
      </c>
      <c r="AQ439" s="5" t="str">
        <f>""</f>
        <v/>
      </c>
      <c r="AR439" s="5" t="str">
        <f>"нет"</f>
        <v>нет</v>
      </c>
      <c r="AS439" s="5" t="str">
        <f>""</f>
        <v/>
      </c>
      <c r="AT439" s="5" t="str">
        <f>""</f>
        <v/>
      </c>
      <c r="AU439" s="5" t="str">
        <f>""</f>
        <v/>
      </c>
      <c r="AV439" s="5" t="str">
        <f t="shared" ref="AV439:BF444" si="698">"х"</f>
        <v>х</v>
      </c>
      <c r="AW439" s="5" t="str">
        <f t="shared" si="698"/>
        <v>х</v>
      </c>
      <c r="AX439" s="5" t="str">
        <f t="shared" si="698"/>
        <v>х</v>
      </c>
      <c r="AY439" s="5" t="str">
        <f t="shared" si="698"/>
        <v>х</v>
      </c>
      <c r="AZ439" s="5" t="str">
        <f t="shared" si="698"/>
        <v>х</v>
      </c>
      <c r="BA439" s="5" t="str">
        <f t="shared" si="698"/>
        <v>х</v>
      </c>
      <c r="BB439" s="5" t="str">
        <f t="shared" si="698"/>
        <v>х</v>
      </c>
      <c r="BC439" s="5" t="str">
        <f t="shared" si="698"/>
        <v>х</v>
      </c>
      <c r="BD439" s="5" t="str">
        <f t="shared" si="698"/>
        <v>х</v>
      </c>
      <c r="BE439" s="5" t="str">
        <f t="shared" si="698"/>
        <v>х</v>
      </c>
      <c r="BF439" s="5" t="str">
        <f t="shared" si="698"/>
        <v>х</v>
      </c>
      <c r="BG439" s="5" t="str">
        <f>"1990"</f>
        <v>1990</v>
      </c>
      <c r="BH439" s="5" t="str">
        <f>"50,00"</f>
        <v>50,00</v>
      </c>
      <c r="BI439" s="5" t="str">
        <f>"2019"</f>
        <v>2019</v>
      </c>
      <c r="BJ439" s="5" t="str">
        <f>"нет"</f>
        <v>нет</v>
      </c>
      <c r="BK439" s="5" t="str">
        <f>""</f>
        <v/>
      </c>
      <c r="BL439" s="5" t="str">
        <f>""</f>
        <v/>
      </c>
      <c r="BM439" s="5" t="str">
        <f>""</f>
        <v/>
      </c>
      <c r="BN439" s="5" t="str">
        <f>"нет"</f>
        <v>нет</v>
      </c>
      <c r="BO439" s="5" t="str">
        <f>""</f>
        <v/>
      </c>
      <c r="BP439" s="5" t="str">
        <f>""</f>
        <v/>
      </c>
      <c r="BQ439" s="5" t="str">
        <f>""</f>
        <v/>
      </c>
      <c r="BR439" s="5" t="str">
        <f>"2005"</f>
        <v>2005</v>
      </c>
      <c r="BS439" s="5" t="str">
        <f>"30,00"</f>
        <v>30,00</v>
      </c>
      <c r="BT439" s="5" t="str">
        <f>"2019"</f>
        <v>2019</v>
      </c>
      <c r="BU439" s="5" t="str">
        <f t="shared" si="689"/>
        <v>нет</v>
      </c>
      <c r="BV439" s="5" t="str">
        <f t="shared" si="683"/>
        <v>x</v>
      </c>
      <c r="BW439" s="5" t="str">
        <f t="shared" si="683"/>
        <v>x</v>
      </c>
      <c r="BX439" s="5" t="str">
        <f t="shared" si="683"/>
        <v>x</v>
      </c>
      <c r="BY439" s="5" t="str">
        <f t="shared" si="674"/>
        <v>нет</v>
      </c>
      <c r="BZ439" s="5" t="str">
        <f t="shared" si="681"/>
        <v>x</v>
      </c>
      <c r="CA439" s="5" t="str">
        <f t="shared" si="682"/>
        <v>x</v>
      </c>
      <c r="CB439" s="5" t="str">
        <f t="shared" si="682"/>
        <v>x</v>
      </c>
      <c r="CC439" s="5" t="str">
        <f>"1965"</f>
        <v>1965</v>
      </c>
      <c r="CD439" s="5" t="str">
        <f>"65,00"</f>
        <v>65,00</v>
      </c>
      <c r="CE439" s="5" t="str">
        <f>"2019"</f>
        <v>2019</v>
      </c>
      <c r="CF439" s="5" t="str">
        <f>"1965"</f>
        <v>1965</v>
      </c>
      <c r="CG439" s="5" t="str">
        <f>"65,00"</f>
        <v>65,00</v>
      </c>
      <c r="CH439" s="5" t="str">
        <f>"2019"</f>
        <v>2019</v>
      </c>
      <c r="CI439" s="5" t="str">
        <f>"55,00"</f>
        <v>55,00</v>
      </c>
      <c r="CJ439" s="5" t="str">
        <f>"2019"</f>
        <v>2019</v>
      </c>
    </row>
    <row r="440" spans="1:88" ht="11.25" customHeight="1">
      <c r="A440" s="3" t="str">
        <f>"1.427"</f>
        <v>1.427</v>
      </c>
      <c r="B440" s="4" t="str">
        <f>"п. Бушуиха, ул. Центральная, д.2"</f>
        <v>п. Бушуиха, ул. Центральная, д.2</v>
      </c>
      <c r="C440" s="7" t="str">
        <f>"1965"</f>
        <v>1965</v>
      </c>
      <c r="D440" s="5" t="str">
        <f>"1965"</f>
        <v>1965</v>
      </c>
      <c r="E440" s="5" t="str">
        <f>"65,00"</f>
        <v>65,00</v>
      </c>
      <c r="F440" s="5" t="str">
        <f>"2020"</f>
        <v>2020</v>
      </c>
      <c r="G440" s="5" t="str">
        <f>"да"</f>
        <v>да</v>
      </c>
      <c r="H440" s="5" t="str">
        <f>"2011"</f>
        <v>2011</v>
      </c>
      <c r="I440" s="5" t="str">
        <f>"1,00"</f>
        <v>1,00</v>
      </c>
      <c r="J440" s="5" t="str">
        <f>"2025"</f>
        <v>2025</v>
      </c>
      <c r="K440" s="5" t="str">
        <f t="shared" si="693"/>
        <v>нет</v>
      </c>
      <c r="L440" s="5" t="str">
        <f>""</f>
        <v/>
      </c>
      <c r="M440" s="5" t="str">
        <f>""</f>
        <v/>
      </c>
      <c r="N440" s="5" t="str">
        <f>""</f>
        <v/>
      </c>
      <c r="O440" s="8" t="str">
        <f>"2000"</f>
        <v>2000</v>
      </c>
      <c r="P440" s="5" t="str">
        <f>"30,00"</f>
        <v>30,00</v>
      </c>
      <c r="Q440" s="5" t="str">
        <f>"2025"</f>
        <v>2025</v>
      </c>
      <c r="R440" s="5" t="str">
        <f>"нет"</f>
        <v>нет</v>
      </c>
      <c r="S440" s="5" t="str">
        <f>""</f>
        <v/>
      </c>
      <c r="T440" s="5" t="str">
        <f>""</f>
        <v/>
      </c>
      <c r="U440" s="5" t="str">
        <f>""</f>
        <v/>
      </c>
      <c r="V440" s="5" t="str">
        <f>"нет"</f>
        <v>нет</v>
      </c>
      <c r="W440" s="5" t="str">
        <f>""</f>
        <v/>
      </c>
      <c r="X440" s="5" t="str">
        <f>""</f>
        <v/>
      </c>
      <c r="Y440" s="9" t="str">
        <f>""</f>
        <v/>
      </c>
      <c r="Z440" s="5" t="str">
        <f>"2000"</f>
        <v>2000</v>
      </c>
      <c r="AA440" s="5" t="str">
        <f>"30,00"</f>
        <v>30,00</v>
      </c>
      <c r="AB440" s="5" t="str">
        <f>"2025"</f>
        <v>2025</v>
      </c>
      <c r="AC440" s="5" t="str">
        <f>"нет"</f>
        <v>нет</v>
      </c>
      <c r="AD440" s="5" t="str">
        <f>""</f>
        <v/>
      </c>
      <c r="AE440" s="5" t="str">
        <f>""</f>
        <v/>
      </c>
      <c r="AF440" s="5" t="str">
        <f>""</f>
        <v/>
      </c>
      <c r="AG440" s="5" t="str">
        <f>"нет"</f>
        <v>нет</v>
      </c>
      <c r="AH440" s="5" t="str">
        <f>""</f>
        <v/>
      </c>
      <c r="AI440" s="5" t="str">
        <f>""</f>
        <v/>
      </c>
      <c r="AJ440" s="5" t="str">
        <f>""</f>
        <v/>
      </c>
      <c r="AK440" s="8" t="str">
        <f>"1990"</f>
        <v>1990</v>
      </c>
      <c r="AL440" s="5" t="str">
        <f>"50,00"</f>
        <v>50,00</v>
      </c>
      <c r="AM440" s="5" t="str">
        <f>"2020"</f>
        <v>2020</v>
      </c>
      <c r="AN440" s="5" t="str">
        <f>"нет"</f>
        <v>нет</v>
      </c>
      <c r="AO440" s="5" t="str">
        <f>""</f>
        <v/>
      </c>
      <c r="AP440" s="5" t="str">
        <f>""</f>
        <v/>
      </c>
      <c r="AQ440" s="5" t="str">
        <f>""</f>
        <v/>
      </c>
      <c r="AR440" s="5" t="str">
        <f>"нет"</f>
        <v>нет</v>
      </c>
      <c r="AS440" s="5" t="str">
        <f>""</f>
        <v/>
      </c>
      <c r="AT440" s="5" t="str">
        <f>""</f>
        <v/>
      </c>
      <c r="AU440" s="5" t="str">
        <f>""</f>
        <v/>
      </c>
      <c r="AV440" s="5" t="str">
        <f t="shared" si="698"/>
        <v>х</v>
      </c>
      <c r="AW440" s="5" t="str">
        <f t="shared" si="698"/>
        <v>х</v>
      </c>
      <c r="AX440" s="5" t="str">
        <f t="shared" si="698"/>
        <v>х</v>
      </c>
      <c r="AY440" s="5" t="str">
        <f t="shared" si="698"/>
        <v>х</v>
      </c>
      <c r="AZ440" s="5" t="str">
        <f t="shared" si="698"/>
        <v>х</v>
      </c>
      <c r="BA440" s="5" t="str">
        <f t="shared" si="698"/>
        <v>х</v>
      </c>
      <c r="BB440" s="5" t="str">
        <f t="shared" si="698"/>
        <v>х</v>
      </c>
      <c r="BC440" s="5" t="str">
        <f t="shared" si="698"/>
        <v>х</v>
      </c>
      <c r="BD440" s="5" t="str">
        <f t="shared" si="698"/>
        <v>х</v>
      </c>
      <c r="BE440" s="5" t="str">
        <f t="shared" si="698"/>
        <v>х</v>
      </c>
      <c r="BF440" s="5" t="str">
        <f t="shared" si="698"/>
        <v>х</v>
      </c>
      <c r="BG440" s="5" t="str">
        <f>"1990"</f>
        <v>1990</v>
      </c>
      <c r="BH440" s="5" t="str">
        <f>"50,00"</f>
        <v>50,00</v>
      </c>
      <c r="BI440" s="5" t="str">
        <f>"2020"</f>
        <v>2020</v>
      </c>
      <c r="BJ440" s="5" t="str">
        <f>"нет"</f>
        <v>нет</v>
      </c>
      <c r="BK440" s="5" t="str">
        <f>""</f>
        <v/>
      </c>
      <c r="BL440" s="5" t="str">
        <f>""</f>
        <v/>
      </c>
      <c r="BM440" s="5" t="str">
        <f>""</f>
        <v/>
      </c>
      <c r="BN440" s="5" t="str">
        <f>"нет"</f>
        <v>нет</v>
      </c>
      <c r="BO440" s="5" t="str">
        <f>""</f>
        <v/>
      </c>
      <c r="BP440" s="5" t="str">
        <f>""</f>
        <v/>
      </c>
      <c r="BQ440" s="5" t="str">
        <f>""</f>
        <v/>
      </c>
      <c r="BR440" s="5" t="str">
        <f>"2004"</f>
        <v>2004</v>
      </c>
      <c r="BS440" s="5" t="str">
        <f>"30,00"</f>
        <v>30,00</v>
      </c>
      <c r="BT440" s="5" t="str">
        <f>"2025"</f>
        <v>2025</v>
      </c>
      <c r="BU440" s="5" t="str">
        <f t="shared" si="689"/>
        <v>нет</v>
      </c>
      <c r="BV440" s="5" t="str">
        <f t="shared" ref="BV440:BX459" si="699">"x"</f>
        <v>x</v>
      </c>
      <c r="BW440" s="5" t="str">
        <f t="shared" si="699"/>
        <v>x</v>
      </c>
      <c r="BX440" s="5" t="str">
        <f t="shared" si="699"/>
        <v>x</v>
      </c>
      <c r="BY440" s="5" t="str">
        <f t="shared" si="674"/>
        <v>нет</v>
      </c>
      <c r="BZ440" s="5" t="str">
        <f t="shared" si="681"/>
        <v>x</v>
      </c>
      <c r="CA440" s="5" t="str">
        <f t="shared" si="682"/>
        <v>x</v>
      </c>
      <c r="CB440" s="5" t="str">
        <f t="shared" si="682"/>
        <v>x</v>
      </c>
      <c r="CC440" s="5" t="str">
        <f>"1990"</f>
        <v>1990</v>
      </c>
      <c r="CD440" s="5" t="str">
        <f>"50,00"</f>
        <v>50,00</v>
      </c>
      <c r="CE440" s="5" t="str">
        <f>"2016"</f>
        <v>2016</v>
      </c>
      <c r="CF440" s="5" t="str">
        <f>"1965"</f>
        <v>1965</v>
      </c>
      <c r="CG440" s="5" t="str">
        <f>"65,00"</f>
        <v>65,00</v>
      </c>
      <c r="CH440" s="5" t="str">
        <f>"2016"</f>
        <v>2016</v>
      </c>
      <c r="CI440" s="5" t="str">
        <f>"54,00"</f>
        <v>54,00</v>
      </c>
      <c r="CJ440" s="5" t="str">
        <f>"2016"</f>
        <v>2016</v>
      </c>
    </row>
    <row r="441" spans="1:88" ht="11.25" customHeight="1">
      <c r="A441" s="3" t="str">
        <f>"1.428"</f>
        <v>1.428</v>
      </c>
      <c r="B441" s="4" t="str">
        <f>"п. Бушуиха, ул. Центральная, д.20а"</f>
        <v>п. Бушуиха, ул. Центральная, д.20а</v>
      </c>
      <c r="C441" s="7" t="str">
        <f>"1976"</f>
        <v>1976</v>
      </c>
      <c r="D441" s="5" t="str">
        <f>"1976"</f>
        <v>1976</v>
      </c>
      <c r="E441" s="5" t="str">
        <f>"60,00"</f>
        <v>60,00</v>
      </c>
      <c r="F441" s="5" t="str">
        <f>"2020"</f>
        <v>2020</v>
      </c>
      <c r="G441" s="5" t="str">
        <f>"нет"</f>
        <v>нет</v>
      </c>
      <c r="H441" s="5" t="str">
        <f>""</f>
        <v/>
      </c>
      <c r="I441" s="5" t="str">
        <f>""</f>
        <v/>
      </c>
      <c r="J441" s="5" t="str">
        <f>""</f>
        <v/>
      </c>
      <c r="K441" s="5" t="str">
        <f t="shared" si="693"/>
        <v>нет</v>
      </c>
      <c r="L441" s="5" t="str">
        <f>""</f>
        <v/>
      </c>
      <c r="M441" s="5" t="str">
        <f>""</f>
        <v/>
      </c>
      <c r="N441" s="5" t="str">
        <f>""</f>
        <v/>
      </c>
      <c r="O441" s="8" t="str">
        <f t="shared" ref="O441:X442" si="700">"х"</f>
        <v>х</v>
      </c>
      <c r="P441" s="5" t="str">
        <f t="shared" si="700"/>
        <v>х</v>
      </c>
      <c r="Q441" s="5" t="str">
        <f t="shared" si="700"/>
        <v>х</v>
      </c>
      <c r="R441" s="5" t="str">
        <f t="shared" si="700"/>
        <v>х</v>
      </c>
      <c r="S441" s="5" t="str">
        <f t="shared" si="700"/>
        <v>х</v>
      </c>
      <c r="T441" s="5" t="str">
        <f t="shared" si="700"/>
        <v>х</v>
      </c>
      <c r="U441" s="5" t="str">
        <f t="shared" si="700"/>
        <v>х</v>
      </c>
      <c r="V441" s="5" t="str">
        <f t="shared" si="700"/>
        <v>х</v>
      </c>
      <c r="W441" s="5" t="str">
        <f t="shared" si="700"/>
        <v>х</v>
      </c>
      <c r="X441" s="5" t="str">
        <f t="shared" si="700"/>
        <v>х</v>
      </c>
      <c r="Y441" s="9" t="str">
        <f t="shared" ref="Y441:AH442" si="701">"х"</f>
        <v>х</v>
      </c>
      <c r="Z441" s="5" t="str">
        <f t="shared" si="701"/>
        <v>х</v>
      </c>
      <c r="AA441" s="5" t="str">
        <f t="shared" si="701"/>
        <v>х</v>
      </c>
      <c r="AB441" s="5" t="str">
        <f t="shared" si="701"/>
        <v>х</v>
      </c>
      <c r="AC441" s="5" t="str">
        <f t="shared" si="701"/>
        <v>х</v>
      </c>
      <c r="AD441" s="5" t="str">
        <f t="shared" si="701"/>
        <v>х</v>
      </c>
      <c r="AE441" s="5" t="str">
        <f t="shared" si="701"/>
        <v>х</v>
      </c>
      <c r="AF441" s="5" t="str">
        <f t="shared" si="701"/>
        <v>х</v>
      </c>
      <c r="AG441" s="5" t="str">
        <f t="shared" si="701"/>
        <v>х</v>
      </c>
      <c r="AH441" s="5" t="str">
        <f t="shared" si="701"/>
        <v>х</v>
      </c>
      <c r="AI441" s="5" t="str">
        <f t="shared" ref="AI441:AU442" si="702">"х"</f>
        <v>х</v>
      </c>
      <c r="AJ441" s="5" t="str">
        <f t="shared" si="702"/>
        <v>х</v>
      </c>
      <c r="AK441" s="8" t="str">
        <f t="shared" si="702"/>
        <v>х</v>
      </c>
      <c r="AL441" s="5" t="str">
        <f t="shared" si="702"/>
        <v>х</v>
      </c>
      <c r="AM441" s="5" t="str">
        <f t="shared" si="702"/>
        <v>х</v>
      </c>
      <c r="AN441" s="5" t="str">
        <f t="shared" si="702"/>
        <v>х</v>
      </c>
      <c r="AO441" s="5" t="str">
        <f t="shared" si="702"/>
        <v>х</v>
      </c>
      <c r="AP441" s="5" t="str">
        <f t="shared" si="702"/>
        <v>х</v>
      </c>
      <c r="AQ441" s="5" t="str">
        <f t="shared" si="702"/>
        <v>х</v>
      </c>
      <c r="AR441" s="5" t="str">
        <f t="shared" si="702"/>
        <v>х</v>
      </c>
      <c r="AS441" s="5" t="str">
        <f t="shared" si="702"/>
        <v>х</v>
      </c>
      <c r="AT441" s="5" t="str">
        <f t="shared" si="702"/>
        <v>х</v>
      </c>
      <c r="AU441" s="5" t="str">
        <f t="shared" si="702"/>
        <v>х</v>
      </c>
      <c r="AV441" s="5" t="str">
        <f t="shared" si="698"/>
        <v>х</v>
      </c>
      <c r="AW441" s="5" t="str">
        <f t="shared" si="698"/>
        <v>х</v>
      </c>
      <c r="AX441" s="5" t="str">
        <f t="shared" si="698"/>
        <v>х</v>
      </c>
      <c r="AY441" s="5" t="str">
        <f t="shared" si="698"/>
        <v>х</v>
      </c>
      <c r="AZ441" s="5" t="str">
        <f t="shared" si="698"/>
        <v>х</v>
      </c>
      <c r="BA441" s="5" t="str">
        <f t="shared" si="698"/>
        <v>х</v>
      </c>
      <c r="BB441" s="5" t="str">
        <f t="shared" si="698"/>
        <v>х</v>
      </c>
      <c r="BC441" s="5" t="str">
        <f t="shared" si="698"/>
        <v>х</v>
      </c>
      <c r="BD441" s="5" t="str">
        <f t="shared" si="698"/>
        <v>х</v>
      </c>
      <c r="BE441" s="5" t="str">
        <f t="shared" si="698"/>
        <v>х</v>
      </c>
      <c r="BF441" s="5" t="str">
        <f t="shared" si="698"/>
        <v>х</v>
      </c>
      <c r="BG441" s="5" t="str">
        <f t="shared" ref="BG441:BQ442" si="703">"х"</f>
        <v>х</v>
      </c>
      <c r="BH441" s="5" t="str">
        <f t="shared" si="703"/>
        <v>х</v>
      </c>
      <c r="BI441" s="5" t="str">
        <f t="shared" si="703"/>
        <v>х</v>
      </c>
      <c r="BJ441" s="5" t="str">
        <f t="shared" si="703"/>
        <v>х</v>
      </c>
      <c r="BK441" s="5" t="str">
        <f t="shared" si="703"/>
        <v>х</v>
      </c>
      <c r="BL441" s="5" t="str">
        <f t="shared" si="703"/>
        <v>х</v>
      </c>
      <c r="BM441" s="5" t="str">
        <f t="shared" si="703"/>
        <v>х</v>
      </c>
      <c r="BN441" s="5" t="str">
        <f t="shared" si="703"/>
        <v>х</v>
      </c>
      <c r="BO441" s="5" t="str">
        <f t="shared" si="703"/>
        <v>х</v>
      </c>
      <c r="BP441" s="5" t="str">
        <f t="shared" si="703"/>
        <v>х</v>
      </c>
      <c r="BQ441" s="5" t="str">
        <f t="shared" si="703"/>
        <v>х</v>
      </c>
      <c r="BR441" s="5" t="str">
        <f>"1976"</f>
        <v>1976</v>
      </c>
      <c r="BS441" s="5" t="str">
        <f>"60,00"</f>
        <v>60,00</v>
      </c>
      <c r="BT441" s="5" t="str">
        <f>"2020"</f>
        <v>2020</v>
      </c>
      <c r="BU441" s="5" t="str">
        <f t="shared" si="689"/>
        <v>нет</v>
      </c>
      <c r="BV441" s="5" t="str">
        <f t="shared" si="699"/>
        <v>x</v>
      </c>
      <c r="BW441" s="5" t="str">
        <f t="shared" si="699"/>
        <v>x</v>
      </c>
      <c r="BX441" s="5" t="str">
        <f t="shared" si="699"/>
        <v>x</v>
      </c>
      <c r="BY441" s="5" t="str">
        <f t="shared" si="674"/>
        <v>нет</v>
      </c>
      <c r="BZ441" s="5" t="str">
        <f t="shared" si="681"/>
        <v>x</v>
      </c>
      <c r="CA441" s="5" t="str">
        <f t="shared" si="682"/>
        <v>x</v>
      </c>
      <c r="CB441" s="5" t="str">
        <f t="shared" si="682"/>
        <v>x</v>
      </c>
      <c r="CC441" s="5" t="str">
        <f>"1976"</f>
        <v>1976</v>
      </c>
      <c r="CD441" s="5" t="str">
        <f>"60,00"</f>
        <v>60,00</v>
      </c>
      <c r="CE441" s="5" t="str">
        <f>"2020"</f>
        <v>2020</v>
      </c>
      <c r="CF441" s="5" t="str">
        <f>"1976"</f>
        <v>1976</v>
      </c>
      <c r="CG441" s="5" t="str">
        <f>"60,00"</f>
        <v>60,00</v>
      </c>
      <c r="CH441" s="5" t="str">
        <f>"2020"</f>
        <v>2020</v>
      </c>
      <c r="CI441" s="5" t="str">
        <f>"36,00"</f>
        <v>36,00</v>
      </c>
      <c r="CJ441" s="5" t="str">
        <f>"2020"</f>
        <v>2020</v>
      </c>
    </row>
    <row r="442" spans="1:88" ht="11.25" customHeight="1">
      <c r="A442" s="3" t="str">
        <f>"1.429"</f>
        <v>1.429</v>
      </c>
      <c r="B442" s="4" t="str">
        <f>"п. Бушуиха, ул. Центральная, д.30"</f>
        <v>п. Бушуиха, ул. Центральная, д.30</v>
      </c>
      <c r="C442" s="7" t="str">
        <f>"1950"</f>
        <v>1950</v>
      </c>
      <c r="D442" s="5" t="str">
        <f>"1950"</f>
        <v>1950</v>
      </c>
      <c r="E442" s="5" t="str">
        <f>"75,00"</f>
        <v>75,00</v>
      </c>
      <c r="F442" s="5" t="str">
        <f>"2020"</f>
        <v>2020</v>
      </c>
      <c r="G442" s="5" t="str">
        <f>"нет"</f>
        <v>нет</v>
      </c>
      <c r="H442" s="5" t="str">
        <f>""</f>
        <v/>
      </c>
      <c r="I442" s="5" t="str">
        <f>""</f>
        <v/>
      </c>
      <c r="J442" s="5" t="str">
        <f>""</f>
        <v/>
      </c>
      <c r="K442" s="5" t="str">
        <f t="shared" si="693"/>
        <v>нет</v>
      </c>
      <c r="L442" s="5" t="str">
        <f>""</f>
        <v/>
      </c>
      <c r="M442" s="5" t="str">
        <f>""</f>
        <v/>
      </c>
      <c r="N442" s="5" t="str">
        <f>""</f>
        <v/>
      </c>
      <c r="O442" s="8" t="str">
        <f t="shared" si="700"/>
        <v>х</v>
      </c>
      <c r="P442" s="5" t="str">
        <f t="shared" si="700"/>
        <v>х</v>
      </c>
      <c r="Q442" s="5" t="str">
        <f t="shared" si="700"/>
        <v>х</v>
      </c>
      <c r="R442" s="5" t="str">
        <f t="shared" si="700"/>
        <v>х</v>
      </c>
      <c r="S442" s="5" t="str">
        <f t="shared" si="700"/>
        <v>х</v>
      </c>
      <c r="T442" s="5" t="str">
        <f t="shared" si="700"/>
        <v>х</v>
      </c>
      <c r="U442" s="5" t="str">
        <f t="shared" si="700"/>
        <v>х</v>
      </c>
      <c r="V442" s="5" t="str">
        <f t="shared" si="700"/>
        <v>х</v>
      </c>
      <c r="W442" s="5" t="str">
        <f t="shared" si="700"/>
        <v>х</v>
      </c>
      <c r="X442" s="5" t="str">
        <f t="shared" si="700"/>
        <v>х</v>
      </c>
      <c r="Y442" s="9" t="str">
        <f t="shared" si="701"/>
        <v>х</v>
      </c>
      <c r="Z442" s="5" t="str">
        <f t="shared" si="701"/>
        <v>х</v>
      </c>
      <c r="AA442" s="5" t="str">
        <f t="shared" si="701"/>
        <v>х</v>
      </c>
      <c r="AB442" s="5" t="str">
        <f t="shared" si="701"/>
        <v>х</v>
      </c>
      <c r="AC442" s="5" t="str">
        <f t="shared" si="701"/>
        <v>х</v>
      </c>
      <c r="AD442" s="5" t="str">
        <f t="shared" si="701"/>
        <v>х</v>
      </c>
      <c r="AE442" s="5" t="str">
        <f t="shared" si="701"/>
        <v>х</v>
      </c>
      <c r="AF442" s="5" t="str">
        <f t="shared" si="701"/>
        <v>х</v>
      </c>
      <c r="AG442" s="5" t="str">
        <f t="shared" si="701"/>
        <v>х</v>
      </c>
      <c r="AH442" s="5" t="str">
        <f t="shared" si="701"/>
        <v>х</v>
      </c>
      <c r="AI442" s="5" t="str">
        <f t="shared" si="702"/>
        <v>х</v>
      </c>
      <c r="AJ442" s="5" t="str">
        <f t="shared" si="702"/>
        <v>х</v>
      </c>
      <c r="AK442" s="8" t="str">
        <f t="shared" si="702"/>
        <v>х</v>
      </c>
      <c r="AL442" s="5" t="str">
        <f t="shared" si="702"/>
        <v>х</v>
      </c>
      <c r="AM442" s="5" t="str">
        <f t="shared" si="702"/>
        <v>х</v>
      </c>
      <c r="AN442" s="5" t="str">
        <f t="shared" si="702"/>
        <v>х</v>
      </c>
      <c r="AO442" s="5" t="str">
        <f t="shared" si="702"/>
        <v>х</v>
      </c>
      <c r="AP442" s="5" t="str">
        <f t="shared" si="702"/>
        <v>х</v>
      </c>
      <c r="AQ442" s="5" t="str">
        <f t="shared" si="702"/>
        <v>х</v>
      </c>
      <c r="AR442" s="5" t="str">
        <f t="shared" si="702"/>
        <v>х</v>
      </c>
      <c r="AS442" s="5" t="str">
        <f t="shared" si="702"/>
        <v>х</v>
      </c>
      <c r="AT442" s="5" t="str">
        <f t="shared" si="702"/>
        <v>х</v>
      </c>
      <c r="AU442" s="5" t="str">
        <f t="shared" si="702"/>
        <v>х</v>
      </c>
      <c r="AV442" s="5" t="str">
        <f t="shared" si="698"/>
        <v>х</v>
      </c>
      <c r="AW442" s="5" t="str">
        <f t="shared" si="698"/>
        <v>х</v>
      </c>
      <c r="AX442" s="5" t="str">
        <f t="shared" si="698"/>
        <v>х</v>
      </c>
      <c r="AY442" s="5" t="str">
        <f t="shared" si="698"/>
        <v>х</v>
      </c>
      <c r="AZ442" s="5" t="str">
        <f t="shared" si="698"/>
        <v>х</v>
      </c>
      <c r="BA442" s="5" t="str">
        <f t="shared" si="698"/>
        <v>х</v>
      </c>
      <c r="BB442" s="5" t="str">
        <f t="shared" si="698"/>
        <v>х</v>
      </c>
      <c r="BC442" s="5" t="str">
        <f t="shared" si="698"/>
        <v>х</v>
      </c>
      <c r="BD442" s="5" t="str">
        <f t="shared" si="698"/>
        <v>х</v>
      </c>
      <c r="BE442" s="5" t="str">
        <f t="shared" si="698"/>
        <v>х</v>
      </c>
      <c r="BF442" s="5" t="str">
        <f t="shared" si="698"/>
        <v>х</v>
      </c>
      <c r="BG442" s="5" t="str">
        <f t="shared" si="703"/>
        <v>х</v>
      </c>
      <c r="BH442" s="5" t="str">
        <f t="shared" si="703"/>
        <v>х</v>
      </c>
      <c r="BI442" s="5" t="str">
        <f t="shared" si="703"/>
        <v>х</v>
      </c>
      <c r="BJ442" s="5" t="str">
        <f t="shared" si="703"/>
        <v>х</v>
      </c>
      <c r="BK442" s="5" t="str">
        <f t="shared" si="703"/>
        <v>х</v>
      </c>
      <c r="BL442" s="5" t="str">
        <f t="shared" si="703"/>
        <v>х</v>
      </c>
      <c r="BM442" s="5" t="str">
        <f t="shared" si="703"/>
        <v>х</v>
      </c>
      <c r="BN442" s="5" t="str">
        <f t="shared" si="703"/>
        <v>х</v>
      </c>
      <c r="BO442" s="5" t="str">
        <f t="shared" si="703"/>
        <v>х</v>
      </c>
      <c r="BP442" s="5" t="str">
        <f t="shared" si="703"/>
        <v>х</v>
      </c>
      <c r="BQ442" s="5" t="str">
        <f t="shared" si="703"/>
        <v>х</v>
      </c>
      <c r="BR442" s="5" t="str">
        <f>"1950"</f>
        <v>1950</v>
      </c>
      <c r="BS442" s="5" t="str">
        <f>"75,00"</f>
        <v>75,00</v>
      </c>
      <c r="BT442" s="5" t="str">
        <f>"2020"</f>
        <v>2020</v>
      </c>
      <c r="BU442" s="5" t="str">
        <f t="shared" si="689"/>
        <v>нет</v>
      </c>
      <c r="BV442" s="5" t="str">
        <f t="shared" si="699"/>
        <v>x</v>
      </c>
      <c r="BW442" s="5" t="str">
        <f t="shared" si="699"/>
        <v>x</v>
      </c>
      <c r="BX442" s="5" t="str">
        <f t="shared" si="699"/>
        <v>x</v>
      </c>
      <c r="BY442" s="5" t="str">
        <f t="shared" ref="BY442:BY447" si="704">"нет"</f>
        <v>нет</v>
      </c>
      <c r="BZ442" s="5" t="str">
        <f t="shared" si="681"/>
        <v>x</v>
      </c>
      <c r="CA442" s="5" t="str">
        <f t="shared" si="682"/>
        <v>x</v>
      </c>
      <c r="CB442" s="5" t="str">
        <f t="shared" si="682"/>
        <v>x</v>
      </c>
      <c r="CC442" s="5" t="str">
        <f>"1950"</f>
        <v>1950</v>
      </c>
      <c r="CD442" s="5" t="str">
        <f>"75,00"</f>
        <v>75,00</v>
      </c>
      <c r="CE442" s="5" t="str">
        <f>"2020"</f>
        <v>2020</v>
      </c>
      <c r="CF442" s="5" t="str">
        <f>"1950"</f>
        <v>1950</v>
      </c>
      <c r="CG442" s="5" t="str">
        <f>"75,00"</f>
        <v>75,00</v>
      </c>
      <c r="CH442" s="5" t="str">
        <f>"2020"</f>
        <v>2020</v>
      </c>
      <c r="CI442" s="5" t="str">
        <f>"100,00"</f>
        <v>100,00</v>
      </c>
      <c r="CJ442" s="5" t="str">
        <f>"2020"</f>
        <v>2020</v>
      </c>
    </row>
    <row r="443" spans="1:88" ht="11.25" customHeight="1">
      <c r="A443" s="3" t="str">
        <f>"1.430"</f>
        <v>1.430</v>
      </c>
      <c r="B443" s="4" t="str">
        <f>"п. Бушуиха, ул. Центральная, д.4"</f>
        <v>п. Бушуиха, ул. Центральная, д.4</v>
      </c>
      <c r="C443" s="7" t="str">
        <f>"1965"</f>
        <v>1965</v>
      </c>
      <c r="D443" s="5" t="str">
        <f>"1965"</f>
        <v>1965</v>
      </c>
      <c r="E443" s="5" t="str">
        <f>"65,00"</f>
        <v>65,00</v>
      </c>
      <c r="F443" s="5" t="str">
        <f>"2016"</f>
        <v>2016</v>
      </c>
      <c r="G443" s="5" t="str">
        <f>"да"</f>
        <v>да</v>
      </c>
      <c r="H443" s="5" t="str">
        <f>"2011"</f>
        <v>2011</v>
      </c>
      <c r="I443" s="5" t="str">
        <f>"2,00"</f>
        <v>2,00</v>
      </c>
      <c r="J443" s="5" t="str">
        <f>"2030"</f>
        <v>2030</v>
      </c>
      <c r="K443" s="5" t="str">
        <f t="shared" si="693"/>
        <v>нет</v>
      </c>
      <c r="L443" s="5" t="str">
        <f>""</f>
        <v/>
      </c>
      <c r="M443" s="5" t="str">
        <f>""</f>
        <v/>
      </c>
      <c r="N443" s="5" t="str">
        <f>""</f>
        <v/>
      </c>
      <c r="O443" s="8" t="str">
        <f>"2000"</f>
        <v>2000</v>
      </c>
      <c r="P443" s="5" t="str">
        <f>"25,00"</f>
        <v>25,00</v>
      </c>
      <c r="Q443" s="5" t="str">
        <f>"2025"</f>
        <v>2025</v>
      </c>
      <c r="R443" s="5" t="str">
        <f>"нет"</f>
        <v>нет</v>
      </c>
      <c r="S443" s="5" t="str">
        <f>""</f>
        <v/>
      </c>
      <c r="T443" s="5" t="str">
        <f>""</f>
        <v/>
      </c>
      <c r="U443" s="5" t="str">
        <f>""</f>
        <v/>
      </c>
      <c r="V443" s="5" t="str">
        <f>"нет"</f>
        <v>нет</v>
      </c>
      <c r="W443" s="5" t="str">
        <f>""</f>
        <v/>
      </c>
      <c r="X443" s="5" t="str">
        <f>""</f>
        <v/>
      </c>
      <c r="Y443" s="9" t="str">
        <f>""</f>
        <v/>
      </c>
      <c r="Z443" s="5" t="str">
        <f>"2000"</f>
        <v>2000</v>
      </c>
      <c r="AA443" s="5" t="str">
        <f>"25,00"</f>
        <v>25,00</v>
      </c>
      <c r="AB443" s="5" t="str">
        <f>"2025"</f>
        <v>2025</v>
      </c>
      <c r="AC443" s="5" t="str">
        <f>"нет"</f>
        <v>нет</v>
      </c>
      <c r="AD443" s="5" t="str">
        <f>""</f>
        <v/>
      </c>
      <c r="AE443" s="5" t="str">
        <f>""</f>
        <v/>
      </c>
      <c r="AF443" s="5" t="str">
        <f>""</f>
        <v/>
      </c>
      <c r="AG443" s="5" t="str">
        <f>"нет"</f>
        <v>нет</v>
      </c>
      <c r="AH443" s="5" t="str">
        <f>""</f>
        <v/>
      </c>
      <c r="AI443" s="5" t="str">
        <f>""</f>
        <v/>
      </c>
      <c r="AJ443" s="5" t="str">
        <f>""</f>
        <v/>
      </c>
      <c r="AK443" s="8" t="str">
        <f>"1990"</f>
        <v>1990</v>
      </c>
      <c r="AL443" s="5" t="str">
        <f>"50,00"</f>
        <v>50,00</v>
      </c>
      <c r="AM443" s="5" t="str">
        <f>"2017"</f>
        <v>2017</v>
      </c>
      <c r="AN443" s="5" t="str">
        <f>"нет"</f>
        <v>нет</v>
      </c>
      <c r="AO443" s="5" t="str">
        <f>""</f>
        <v/>
      </c>
      <c r="AP443" s="5" t="str">
        <f>""</f>
        <v/>
      </c>
      <c r="AQ443" s="5" t="str">
        <f>""</f>
        <v/>
      </c>
      <c r="AR443" s="5" t="str">
        <f>"нет"</f>
        <v>нет</v>
      </c>
      <c r="AS443" s="5" t="str">
        <f>""</f>
        <v/>
      </c>
      <c r="AT443" s="5" t="str">
        <f>""</f>
        <v/>
      </c>
      <c r="AU443" s="5" t="str">
        <f>""</f>
        <v/>
      </c>
      <c r="AV443" s="5" t="str">
        <f t="shared" si="698"/>
        <v>х</v>
      </c>
      <c r="AW443" s="5" t="str">
        <f t="shared" si="698"/>
        <v>х</v>
      </c>
      <c r="AX443" s="5" t="str">
        <f t="shared" si="698"/>
        <v>х</v>
      </c>
      <c r="AY443" s="5" t="str">
        <f t="shared" si="698"/>
        <v>х</v>
      </c>
      <c r="AZ443" s="5" t="str">
        <f t="shared" si="698"/>
        <v>х</v>
      </c>
      <c r="BA443" s="5" t="str">
        <f t="shared" si="698"/>
        <v>х</v>
      </c>
      <c r="BB443" s="5" t="str">
        <f t="shared" si="698"/>
        <v>х</v>
      </c>
      <c r="BC443" s="5" t="str">
        <f t="shared" si="698"/>
        <v>х</v>
      </c>
      <c r="BD443" s="5" t="str">
        <f t="shared" si="698"/>
        <v>х</v>
      </c>
      <c r="BE443" s="5" t="str">
        <f t="shared" si="698"/>
        <v>х</v>
      </c>
      <c r="BF443" s="5" t="str">
        <f t="shared" si="698"/>
        <v>х</v>
      </c>
      <c r="BG443" s="5" t="str">
        <f>"1990"</f>
        <v>1990</v>
      </c>
      <c r="BH443" s="5" t="str">
        <f>"50,00"</f>
        <v>50,00</v>
      </c>
      <c r="BI443" s="5" t="str">
        <f>"2017"</f>
        <v>2017</v>
      </c>
      <c r="BJ443" s="5" t="str">
        <f>"нет"</f>
        <v>нет</v>
      </c>
      <c r="BK443" s="5" t="str">
        <f>""</f>
        <v/>
      </c>
      <c r="BL443" s="5" t="str">
        <f>""</f>
        <v/>
      </c>
      <c r="BM443" s="5" t="str">
        <f>""</f>
        <v/>
      </c>
      <c r="BN443" s="5" t="str">
        <f>"нет"</f>
        <v>нет</v>
      </c>
      <c r="BO443" s="5" t="str">
        <f>""</f>
        <v/>
      </c>
      <c r="BP443" s="5" t="str">
        <f>""</f>
        <v/>
      </c>
      <c r="BQ443" s="5" t="str">
        <f>""</f>
        <v/>
      </c>
      <c r="BR443" s="5" t="str">
        <f>"2004"</f>
        <v>2004</v>
      </c>
      <c r="BS443" s="5" t="str">
        <f>"50,00"</f>
        <v>50,00</v>
      </c>
      <c r="BT443" s="5" t="str">
        <f>"2020"</f>
        <v>2020</v>
      </c>
      <c r="BU443" s="5" t="str">
        <f t="shared" si="689"/>
        <v>нет</v>
      </c>
      <c r="BV443" s="5" t="str">
        <f t="shared" si="699"/>
        <v>x</v>
      </c>
      <c r="BW443" s="5" t="str">
        <f t="shared" si="699"/>
        <v>x</v>
      </c>
      <c r="BX443" s="5" t="str">
        <f t="shared" si="699"/>
        <v>x</v>
      </c>
      <c r="BY443" s="5" t="str">
        <f t="shared" si="704"/>
        <v>нет</v>
      </c>
      <c r="BZ443" s="5" t="str">
        <f t="shared" si="681"/>
        <v>x</v>
      </c>
      <c r="CA443" s="5" t="str">
        <f t="shared" si="682"/>
        <v>x</v>
      </c>
      <c r="CB443" s="5" t="str">
        <f t="shared" si="682"/>
        <v>x</v>
      </c>
      <c r="CC443" s="5" t="str">
        <f>"1965"</f>
        <v>1965</v>
      </c>
      <c r="CD443" s="5" t="str">
        <f>"65,00"</f>
        <v>65,00</v>
      </c>
      <c r="CE443" s="5" t="str">
        <f>"2016"</f>
        <v>2016</v>
      </c>
      <c r="CF443" s="5" t="str">
        <f>"1965"</f>
        <v>1965</v>
      </c>
      <c r="CG443" s="5" t="str">
        <f>"65,00"</f>
        <v>65,00</v>
      </c>
      <c r="CH443" s="5" t="str">
        <f>"2016"</f>
        <v>2016</v>
      </c>
      <c r="CI443" s="5" t="str">
        <f>"39,00"</f>
        <v>39,00</v>
      </c>
      <c r="CJ443" s="5" t="str">
        <f>"2016"</f>
        <v>2016</v>
      </c>
    </row>
    <row r="444" spans="1:88" ht="11.25" customHeight="1">
      <c r="A444" s="3" t="str">
        <f>"1.431"</f>
        <v>1.431</v>
      </c>
      <c r="B444" s="4" t="str">
        <f>"п. Бушуиха, ул. Центральная, д.5А"</f>
        <v>п. Бушуиха, ул. Центральная, д.5А</v>
      </c>
      <c r="C444" s="7" t="str">
        <f>"1950"</f>
        <v>1950</v>
      </c>
      <c r="D444" s="5" t="str">
        <f>"1950"</f>
        <v>1950</v>
      </c>
      <c r="E444" s="5" t="str">
        <f>"75,00"</f>
        <v>75,00</v>
      </c>
      <c r="F444" s="5" t="str">
        <f>"2018"</f>
        <v>2018</v>
      </c>
      <c r="G444" s="5" t="str">
        <f>"нет"</f>
        <v>нет</v>
      </c>
      <c r="H444" s="5" t="str">
        <f>""</f>
        <v/>
      </c>
      <c r="I444" s="5" t="str">
        <f>""</f>
        <v/>
      </c>
      <c r="J444" s="5" t="str">
        <f>""</f>
        <v/>
      </c>
      <c r="K444" s="5" t="str">
        <f t="shared" si="693"/>
        <v>нет</v>
      </c>
      <c r="L444" s="5" t="str">
        <f>""</f>
        <v/>
      </c>
      <c r="M444" s="5" t="str">
        <f>""</f>
        <v/>
      </c>
      <c r="N444" s="5" t="str">
        <f>""</f>
        <v/>
      </c>
      <c r="O444" s="8" t="str">
        <f t="shared" ref="O444:AU444" si="705">"х"</f>
        <v>х</v>
      </c>
      <c r="P444" s="5" t="str">
        <f t="shared" si="705"/>
        <v>х</v>
      </c>
      <c r="Q444" s="5" t="str">
        <f t="shared" si="705"/>
        <v>х</v>
      </c>
      <c r="R444" s="5" t="str">
        <f t="shared" si="705"/>
        <v>х</v>
      </c>
      <c r="S444" s="5" t="str">
        <f t="shared" si="705"/>
        <v>х</v>
      </c>
      <c r="T444" s="5" t="str">
        <f t="shared" si="705"/>
        <v>х</v>
      </c>
      <c r="U444" s="5" t="str">
        <f t="shared" si="705"/>
        <v>х</v>
      </c>
      <c r="V444" s="5" t="str">
        <f t="shared" si="705"/>
        <v>х</v>
      </c>
      <c r="W444" s="5" t="str">
        <f t="shared" si="705"/>
        <v>х</v>
      </c>
      <c r="X444" s="5" t="str">
        <f t="shared" si="705"/>
        <v>х</v>
      </c>
      <c r="Y444" s="9" t="str">
        <f t="shared" si="705"/>
        <v>х</v>
      </c>
      <c r="Z444" s="5" t="str">
        <f t="shared" si="705"/>
        <v>х</v>
      </c>
      <c r="AA444" s="5" t="str">
        <f t="shared" si="705"/>
        <v>х</v>
      </c>
      <c r="AB444" s="5" t="str">
        <f t="shared" si="705"/>
        <v>х</v>
      </c>
      <c r="AC444" s="5" t="str">
        <f t="shared" si="705"/>
        <v>х</v>
      </c>
      <c r="AD444" s="5" t="str">
        <f t="shared" si="705"/>
        <v>х</v>
      </c>
      <c r="AE444" s="5" t="str">
        <f t="shared" si="705"/>
        <v>х</v>
      </c>
      <c r="AF444" s="5" t="str">
        <f t="shared" si="705"/>
        <v>х</v>
      </c>
      <c r="AG444" s="5" t="str">
        <f t="shared" si="705"/>
        <v>х</v>
      </c>
      <c r="AH444" s="5" t="str">
        <f t="shared" si="705"/>
        <v>х</v>
      </c>
      <c r="AI444" s="5" t="str">
        <f t="shared" si="705"/>
        <v>х</v>
      </c>
      <c r="AJ444" s="5" t="str">
        <f t="shared" si="705"/>
        <v>х</v>
      </c>
      <c r="AK444" s="8" t="str">
        <f t="shared" si="705"/>
        <v>х</v>
      </c>
      <c r="AL444" s="5" t="str">
        <f t="shared" si="705"/>
        <v>х</v>
      </c>
      <c r="AM444" s="5" t="str">
        <f t="shared" si="705"/>
        <v>х</v>
      </c>
      <c r="AN444" s="5" t="str">
        <f t="shared" si="705"/>
        <v>х</v>
      </c>
      <c r="AO444" s="5" t="str">
        <f t="shared" si="705"/>
        <v>х</v>
      </c>
      <c r="AP444" s="5" t="str">
        <f t="shared" si="705"/>
        <v>х</v>
      </c>
      <c r="AQ444" s="5" t="str">
        <f t="shared" si="705"/>
        <v>х</v>
      </c>
      <c r="AR444" s="5" t="str">
        <f t="shared" si="705"/>
        <v>х</v>
      </c>
      <c r="AS444" s="5" t="str">
        <f t="shared" si="705"/>
        <v>х</v>
      </c>
      <c r="AT444" s="5" t="str">
        <f t="shared" si="705"/>
        <v>х</v>
      </c>
      <c r="AU444" s="5" t="str">
        <f t="shared" si="705"/>
        <v>х</v>
      </c>
      <c r="AV444" s="5" t="str">
        <f t="shared" si="698"/>
        <v>х</v>
      </c>
      <c r="AW444" s="5" t="str">
        <f t="shared" si="698"/>
        <v>х</v>
      </c>
      <c r="AX444" s="5" t="str">
        <f t="shared" si="698"/>
        <v>х</v>
      </c>
      <c r="AY444" s="5" t="str">
        <f t="shared" si="698"/>
        <v>х</v>
      </c>
      <c r="AZ444" s="5" t="str">
        <f t="shared" si="698"/>
        <v>х</v>
      </c>
      <c r="BA444" s="5" t="str">
        <f t="shared" si="698"/>
        <v>х</v>
      </c>
      <c r="BB444" s="5" t="str">
        <f t="shared" si="698"/>
        <v>х</v>
      </c>
      <c r="BC444" s="5" t="str">
        <f t="shared" si="698"/>
        <v>х</v>
      </c>
      <c r="BD444" s="5" t="str">
        <f t="shared" si="698"/>
        <v>х</v>
      </c>
      <c r="BE444" s="5" t="str">
        <f t="shared" si="698"/>
        <v>х</v>
      </c>
      <c r="BF444" s="5" t="str">
        <f t="shared" si="698"/>
        <v>х</v>
      </c>
      <c r="BG444" s="5" t="str">
        <f t="shared" ref="BG444:BQ444" si="706">"х"</f>
        <v>х</v>
      </c>
      <c r="BH444" s="5" t="str">
        <f t="shared" si="706"/>
        <v>х</v>
      </c>
      <c r="BI444" s="5" t="str">
        <f t="shared" si="706"/>
        <v>х</v>
      </c>
      <c r="BJ444" s="5" t="str">
        <f t="shared" si="706"/>
        <v>х</v>
      </c>
      <c r="BK444" s="5" t="str">
        <f t="shared" si="706"/>
        <v>х</v>
      </c>
      <c r="BL444" s="5" t="str">
        <f t="shared" si="706"/>
        <v>х</v>
      </c>
      <c r="BM444" s="5" t="str">
        <f t="shared" si="706"/>
        <v>х</v>
      </c>
      <c r="BN444" s="5" t="str">
        <f t="shared" si="706"/>
        <v>х</v>
      </c>
      <c r="BO444" s="5" t="str">
        <f t="shared" si="706"/>
        <v>х</v>
      </c>
      <c r="BP444" s="5" t="str">
        <f t="shared" si="706"/>
        <v>х</v>
      </c>
      <c r="BQ444" s="5" t="str">
        <f t="shared" si="706"/>
        <v>х</v>
      </c>
      <c r="BR444" s="5" t="str">
        <f>"1950"</f>
        <v>1950</v>
      </c>
      <c r="BS444" s="5" t="str">
        <f>"75,00"</f>
        <v>75,00</v>
      </c>
      <c r="BT444" s="5" t="str">
        <f>"2016"</f>
        <v>2016</v>
      </c>
      <c r="BU444" s="5" t="str">
        <f t="shared" si="689"/>
        <v>нет</v>
      </c>
      <c r="BV444" s="5" t="str">
        <f t="shared" si="699"/>
        <v>x</v>
      </c>
      <c r="BW444" s="5" t="str">
        <f t="shared" si="699"/>
        <v>x</v>
      </c>
      <c r="BX444" s="5" t="str">
        <f t="shared" si="699"/>
        <v>x</v>
      </c>
      <c r="BY444" s="5" t="str">
        <f t="shared" si="704"/>
        <v>нет</v>
      </c>
      <c r="BZ444" s="5" t="str">
        <f t="shared" si="681"/>
        <v>x</v>
      </c>
      <c r="CA444" s="5" t="str">
        <f t="shared" si="682"/>
        <v>x</v>
      </c>
      <c r="CB444" s="5" t="str">
        <f t="shared" si="682"/>
        <v>x</v>
      </c>
      <c r="CC444" s="5" t="str">
        <f>"1950"</f>
        <v>1950</v>
      </c>
      <c r="CD444" s="5" t="str">
        <f>"75,00"</f>
        <v>75,00</v>
      </c>
      <c r="CE444" s="5" t="str">
        <f>"2016"</f>
        <v>2016</v>
      </c>
      <c r="CF444" s="5" t="str">
        <f>"1950"</f>
        <v>1950</v>
      </c>
      <c r="CG444" s="5" t="str">
        <f>"75,00"</f>
        <v>75,00</v>
      </c>
      <c r="CH444" s="5" t="str">
        <f>"2016"</f>
        <v>2016</v>
      </c>
      <c r="CI444" s="5" t="str">
        <f>"57,00"</f>
        <v>57,00</v>
      </c>
      <c r="CJ444" s="5" t="str">
        <f>"2016"</f>
        <v>2016</v>
      </c>
    </row>
    <row r="445" spans="1:88" ht="11.25" customHeight="1">
      <c r="A445" s="3" t="str">
        <f>"1.432"</f>
        <v>1.432</v>
      </c>
      <c r="B445" s="4" t="str">
        <f>"п. Бушуиха, ул. Центральная, д.6"</f>
        <v>п. Бушуиха, ул. Центральная, д.6</v>
      </c>
      <c r="C445" s="7" t="str">
        <f>"1978"</f>
        <v>1978</v>
      </c>
      <c r="D445" s="5" t="str">
        <f>"1978"</f>
        <v>1978</v>
      </c>
      <c r="E445" s="5" t="str">
        <f>"60,00"</f>
        <v>60,00</v>
      </c>
      <c r="F445" s="5" t="str">
        <f>"2020"</f>
        <v>2020</v>
      </c>
      <c r="G445" s="5" t="str">
        <f>"да"</f>
        <v>да</v>
      </c>
      <c r="H445" s="5" t="str">
        <f>"1978"</f>
        <v>1978</v>
      </c>
      <c r="I445" s="5" t="str">
        <f>"60,00"</f>
        <v>60,00</v>
      </c>
      <c r="J445" s="5" t="str">
        <f>"2017"</f>
        <v>2017</v>
      </c>
      <c r="K445" s="5" t="str">
        <f t="shared" si="693"/>
        <v>нет</v>
      </c>
      <c r="L445" s="5" t="str">
        <f>""</f>
        <v/>
      </c>
      <c r="M445" s="5" t="str">
        <f>""</f>
        <v/>
      </c>
      <c r="N445" s="5" t="str">
        <f>""</f>
        <v/>
      </c>
      <c r="O445" s="8" t="str">
        <f>"1978"</f>
        <v>1978</v>
      </c>
      <c r="P445" s="5" t="str">
        <f>"60,00"</f>
        <v>60,00</v>
      </c>
      <c r="Q445" s="5" t="str">
        <f>"2017"</f>
        <v>2017</v>
      </c>
      <c r="R445" s="5" t="str">
        <f>"нет"</f>
        <v>нет</v>
      </c>
      <c r="S445" s="5" t="str">
        <f>""</f>
        <v/>
      </c>
      <c r="T445" s="5" t="str">
        <f>""</f>
        <v/>
      </c>
      <c r="U445" s="5" t="str">
        <f>""</f>
        <v/>
      </c>
      <c r="V445" s="5" t="str">
        <f>"нет"</f>
        <v>нет</v>
      </c>
      <c r="W445" s="5" t="str">
        <f>""</f>
        <v/>
      </c>
      <c r="X445" s="5" t="str">
        <f>""</f>
        <v/>
      </c>
      <c r="Y445" s="9" t="str">
        <f>""</f>
        <v/>
      </c>
      <c r="Z445" s="5" t="str">
        <f>"1978"</f>
        <v>1978</v>
      </c>
      <c r="AA445" s="5" t="str">
        <f>"60,00"</f>
        <v>60,00</v>
      </c>
      <c r="AB445" s="5" t="str">
        <f>"2020"</f>
        <v>2020</v>
      </c>
      <c r="AC445" s="5" t="str">
        <f>"нет"</f>
        <v>нет</v>
      </c>
      <c r="AD445" s="5" t="str">
        <f>""</f>
        <v/>
      </c>
      <c r="AE445" s="5" t="str">
        <f>""</f>
        <v/>
      </c>
      <c r="AF445" s="5" t="str">
        <f>""</f>
        <v/>
      </c>
      <c r="AG445" s="5" t="str">
        <f>"нет"</f>
        <v>нет</v>
      </c>
      <c r="AH445" s="5" t="str">
        <f>""</f>
        <v/>
      </c>
      <c r="AI445" s="5" t="str">
        <f>""</f>
        <v/>
      </c>
      <c r="AJ445" s="5" t="str">
        <f>""</f>
        <v/>
      </c>
      <c r="AK445" s="8" t="str">
        <f>"1978"</f>
        <v>1978</v>
      </c>
      <c r="AL445" s="5" t="str">
        <f>"60,00"</f>
        <v>60,00</v>
      </c>
      <c r="AM445" s="5" t="str">
        <f>"2020"</f>
        <v>2020</v>
      </c>
      <c r="AN445" s="5" t="str">
        <f>"нет"</f>
        <v>нет</v>
      </c>
      <c r="AO445" s="5" t="str">
        <f>""</f>
        <v/>
      </c>
      <c r="AP445" s="5" t="str">
        <f>""</f>
        <v/>
      </c>
      <c r="AQ445" s="5" t="str">
        <f>""</f>
        <v/>
      </c>
      <c r="AR445" s="5" t="str">
        <f>"нет"</f>
        <v>нет</v>
      </c>
      <c r="AS445" s="5" t="str">
        <f>""</f>
        <v/>
      </c>
      <c r="AT445" s="5" t="str">
        <f>""</f>
        <v/>
      </c>
      <c r="AU445" s="5" t="str">
        <f>""</f>
        <v/>
      </c>
      <c r="AV445" s="5" t="str">
        <f>""</f>
        <v/>
      </c>
      <c r="AW445" s="5" t="str">
        <f>""</f>
        <v/>
      </c>
      <c r="AX445" s="5" t="str">
        <f>""</f>
        <v/>
      </c>
      <c r="AY445" s="5" t="str">
        <f>""</f>
        <v/>
      </c>
      <c r="AZ445" s="5" t="str">
        <f>""</f>
        <v/>
      </c>
      <c r="BA445" s="5" t="str">
        <f>""</f>
        <v/>
      </c>
      <c r="BB445" s="5" t="str">
        <f>""</f>
        <v/>
      </c>
      <c r="BC445" s="5" t="str">
        <f>""</f>
        <v/>
      </c>
      <c r="BD445" s="5" t="str">
        <f>""</f>
        <v/>
      </c>
      <c r="BE445" s="5" t="str">
        <f>""</f>
        <v/>
      </c>
      <c r="BF445" s="5" t="str">
        <f>""</f>
        <v/>
      </c>
      <c r="BG445" s="5" t="str">
        <f>"1978"</f>
        <v>1978</v>
      </c>
      <c r="BH445" s="5" t="str">
        <f>"60,00"</f>
        <v>60,00</v>
      </c>
      <c r="BI445" s="5" t="str">
        <f>"2017"</f>
        <v>2017</v>
      </c>
      <c r="BJ445" s="5" t="str">
        <f>"нет"</f>
        <v>нет</v>
      </c>
      <c r="BK445" s="5" t="str">
        <f>""</f>
        <v/>
      </c>
      <c r="BL445" s="5" t="str">
        <f>""</f>
        <v/>
      </c>
      <c r="BM445" s="5" t="str">
        <f>""</f>
        <v/>
      </c>
      <c r="BN445" s="5" t="str">
        <f>"нет"</f>
        <v>нет</v>
      </c>
      <c r="BO445" s="5" t="str">
        <f>""</f>
        <v/>
      </c>
      <c r="BP445" s="5" t="str">
        <f>""</f>
        <v/>
      </c>
      <c r="BQ445" s="5" t="str">
        <f>""</f>
        <v/>
      </c>
      <c r="BR445" s="5" t="str">
        <f>"2006"</f>
        <v>2006</v>
      </c>
      <c r="BS445" s="5" t="str">
        <f>"5,00"</f>
        <v>5,00</v>
      </c>
      <c r="BT445" s="5" t="str">
        <f>"2025"</f>
        <v>2025</v>
      </c>
      <c r="BU445" s="5" t="str">
        <f t="shared" si="689"/>
        <v>нет</v>
      </c>
      <c r="BV445" s="5" t="str">
        <f t="shared" si="699"/>
        <v>x</v>
      </c>
      <c r="BW445" s="5" t="str">
        <f t="shared" si="699"/>
        <v>x</v>
      </c>
      <c r="BX445" s="5" t="str">
        <f t="shared" si="699"/>
        <v>x</v>
      </c>
      <c r="BY445" s="5" t="str">
        <f t="shared" si="704"/>
        <v>нет</v>
      </c>
      <c r="BZ445" s="5" t="str">
        <f t="shared" si="681"/>
        <v>x</v>
      </c>
      <c r="CA445" s="5" t="str">
        <f t="shared" si="682"/>
        <v>x</v>
      </c>
      <c r="CB445" s="5" t="str">
        <f t="shared" si="682"/>
        <v>x</v>
      </c>
      <c r="CC445" s="5" t="str">
        <f>"1978"</f>
        <v>1978</v>
      </c>
      <c r="CD445" s="5" t="str">
        <f>"60,00"</f>
        <v>60,00</v>
      </c>
      <c r="CE445" s="5" t="str">
        <f>"2020"</f>
        <v>2020</v>
      </c>
      <c r="CF445" s="5" t="str">
        <f>"1978"</f>
        <v>1978</v>
      </c>
      <c r="CG445" s="5" t="str">
        <f>"60,00"</f>
        <v>60,00</v>
      </c>
      <c r="CH445" s="5" t="str">
        <f>"2020"</f>
        <v>2020</v>
      </c>
      <c r="CI445" s="5" t="str">
        <f>"38,00"</f>
        <v>38,00</v>
      </c>
      <c r="CJ445" s="5" t="str">
        <f>"2020"</f>
        <v>2020</v>
      </c>
    </row>
    <row r="446" spans="1:88" ht="11.25" customHeight="1">
      <c r="A446" s="3" t="str">
        <f>"1.433"</f>
        <v>1.433</v>
      </c>
      <c r="B446" s="4" t="str">
        <f>"п. Бушуиха, ул. Центральная, д.8"</f>
        <v>п. Бушуиха, ул. Центральная, д.8</v>
      </c>
      <c r="C446" s="7" t="str">
        <f>"1987"</f>
        <v>1987</v>
      </c>
      <c r="D446" s="5" t="str">
        <f>"1987"</f>
        <v>1987</v>
      </c>
      <c r="E446" s="5" t="str">
        <f>"50,00"</f>
        <v>50,00</v>
      </c>
      <c r="F446" s="5" t="str">
        <f>"2025"</f>
        <v>2025</v>
      </c>
      <c r="G446" s="5" t="str">
        <f>"да"</f>
        <v>да</v>
      </c>
      <c r="H446" s="5" t="str">
        <f>"1987"</f>
        <v>1987</v>
      </c>
      <c r="I446" s="5" t="str">
        <f>"50,00"</f>
        <v>50,00</v>
      </c>
      <c r="J446" s="5" t="str">
        <f>"2025"</f>
        <v>2025</v>
      </c>
      <c r="K446" s="5" t="str">
        <f t="shared" si="693"/>
        <v>нет</v>
      </c>
      <c r="L446" s="5" t="str">
        <f>""</f>
        <v/>
      </c>
      <c r="M446" s="5" t="str">
        <f>""</f>
        <v/>
      </c>
      <c r="N446" s="5" t="str">
        <f>""</f>
        <v/>
      </c>
      <c r="O446" s="8" t="str">
        <f>"1987"</f>
        <v>1987</v>
      </c>
      <c r="P446" s="5" t="str">
        <f>"50,00"</f>
        <v>50,00</v>
      </c>
      <c r="Q446" s="5" t="str">
        <f>"2017"</f>
        <v>2017</v>
      </c>
      <c r="R446" s="5" t="str">
        <f>"нет"</f>
        <v>нет</v>
      </c>
      <c r="S446" s="5" t="str">
        <f>""</f>
        <v/>
      </c>
      <c r="T446" s="5" t="str">
        <f>""</f>
        <v/>
      </c>
      <c r="U446" s="5" t="str">
        <f>""</f>
        <v/>
      </c>
      <c r="V446" s="5" t="str">
        <f>"нет"</f>
        <v>нет</v>
      </c>
      <c r="W446" s="5" t="str">
        <f>""</f>
        <v/>
      </c>
      <c r="X446" s="5" t="str">
        <f>""</f>
        <v/>
      </c>
      <c r="Y446" s="9" t="str">
        <f>""</f>
        <v/>
      </c>
      <c r="Z446" s="5" t="str">
        <f>"1987"</f>
        <v>1987</v>
      </c>
      <c r="AA446" s="5" t="str">
        <f>"50,00"</f>
        <v>50,00</v>
      </c>
      <c r="AB446" s="5" t="str">
        <f>"2025"</f>
        <v>2025</v>
      </c>
      <c r="AC446" s="5" t="str">
        <f>"нет"</f>
        <v>нет</v>
      </c>
      <c r="AD446" s="5" t="str">
        <f>""</f>
        <v/>
      </c>
      <c r="AE446" s="5" t="str">
        <f>""</f>
        <v/>
      </c>
      <c r="AF446" s="5" t="str">
        <f>""</f>
        <v/>
      </c>
      <c r="AG446" s="5" t="str">
        <f>"нет"</f>
        <v>нет</v>
      </c>
      <c r="AH446" s="5" t="str">
        <f>""</f>
        <v/>
      </c>
      <c r="AI446" s="5" t="str">
        <f>""</f>
        <v/>
      </c>
      <c r="AJ446" s="5" t="str">
        <f>""</f>
        <v/>
      </c>
      <c r="AK446" s="8" t="str">
        <f>"1987"</f>
        <v>1987</v>
      </c>
      <c r="AL446" s="5" t="str">
        <f>"50,00"</f>
        <v>50,00</v>
      </c>
      <c r="AM446" s="5" t="str">
        <f>"2017"</f>
        <v>2017</v>
      </c>
      <c r="AN446" s="5" t="str">
        <f>"нет"</f>
        <v>нет</v>
      </c>
      <c r="AO446" s="5" t="str">
        <f>""</f>
        <v/>
      </c>
      <c r="AP446" s="5" t="str">
        <f>""</f>
        <v/>
      </c>
      <c r="AQ446" s="5" t="str">
        <f>""</f>
        <v/>
      </c>
      <c r="AR446" s="5" t="str">
        <f>"нет"</f>
        <v>нет</v>
      </c>
      <c r="AS446" s="5" t="str">
        <f>""</f>
        <v/>
      </c>
      <c r="AT446" s="5" t="str">
        <f>""</f>
        <v/>
      </c>
      <c r="AU446" s="5" t="str">
        <f>""</f>
        <v/>
      </c>
      <c r="AV446" s="5" t="str">
        <f>""</f>
        <v/>
      </c>
      <c r="AW446" s="5" t="str">
        <f>"50,00"</f>
        <v>50,00</v>
      </c>
      <c r="AX446" s="5" t="str">
        <f>"2025"</f>
        <v>2025</v>
      </c>
      <c r="AY446" s="5" t="str">
        <f>"нет"</f>
        <v>нет</v>
      </c>
      <c r="AZ446" s="5" t="str">
        <f>""</f>
        <v/>
      </c>
      <c r="BA446" s="5" t="str">
        <f>""</f>
        <v/>
      </c>
      <c r="BB446" s="5" t="str">
        <f>""</f>
        <v/>
      </c>
      <c r="BC446" s="5" t="str">
        <f>"нет"</f>
        <v>нет</v>
      </c>
      <c r="BD446" s="5" t="str">
        <f>""</f>
        <v/>
      </c>
      <c r="BE446" s="5" t="str">
        <f>""</f>
        <v/>
      </c>
      <c r="BF446" s="5" t="str">
        <f>""</f>
        <v/>
      </c>
      <c r="BG446" s="5" t="str">
        <f>"1987"</f>
        <v>1987</v>
      </c>
      <c r="BH446" s="5" t="str">
        <f>"50,00"</f>
        <v>50,00</v>
      </c>
      <c r="BI446" s="5" t="str">
        <f>"2017"</f>
        <v>2017</v>
      </c>
      <c r="BJ446" s="5" t="str">
        <f>"нет"</f>
        <v>нет</v>
      </c>
      <c r="BK446" s="5" t="str">
        <f>""</f>
        <v/>
      </c>
      <c r="BL446" s="5" t="str">
        <f>""</f>
        <v/>
      </c>
      <c r="BM446" s="5" t="str">
        <f>""</f>
        <v/>
      </c>
      <c r="BN446" s="5" t="str">
        <f>"нет"</f>
        <v>нет</v>
      </c>
      <c r="BO446" s="5" t="str">
        <f>""</f>
        <v/>
      </c>
      <c r="BP446" s="5" t="str">
        <f>""</f>
        <v/>
      </c>
      <c r="BQ446" s="5" t="str">
        <f>""</f>
        <v/>
      </c>
      <c r="BR446" s="5" t="str">
        <f>"1987"</f>
        <v>1987</v>
      </c>
      <c r="BS446" s="5" t="str">
        <f>"50,00"</f>
        <v>50,00</v>
      </c>
      <c r="BT446" s="5" t="str">
        <f>"2017"</f>
        <v>2017</v>
      </c>
      <c r="BU446" s="5" t="str">
        <f t="shared" si="689"/>
        <v>нет</v>
      </c>
      <c r="BV446" s="5" t="str">
        <f t="shared" si="699"/>
        <v>x</v>
      </c>
      <c r="BW446" s="5" t="str">
        <f t="shared" si="699"/>
        <v>x</v>
      </c>
      <c r="BX446" s="5" t="str">
        <f t="shared" si="699"/>
        <v>x</v>
      </c>
      <c r="BY446" s="5" t="str">
        <f t="shared" si="704"/>
        <v>нет</v>
      </c>
      <c r="BZ446" s="5" t="str">
        <f t="shared" si="681"/>
        <v>x</v>
      </c>
      <c r="CA446" s="5" t="str">
        <f t="shared" si="682"/>
        <v>x</v>
      </c>
      <c r="CB446" s="5" t="str">
        <f t="shared" si="682"/>
        <v>x</v>
      </c>
      <c r="CC446" s="5" t="str">
        <f>"1987"</f>
        <v>1987</v>
      </c>
      <c r="CD446" s="5" t="str">
        <f>"50,00"</f>
        <v>50,00</v>
      </c>
      <c r="CE446" s="5" t="str">
        <f>"2025"</f>
        <v>2025</v>
      </c>
      <c r="CF446" s="5" t="str">
        <f>"1987"</f>
        <v>1987</v>
      </c>
      <c r="CG446" s="5" t="str">
        <f>"50,00"</f>
        <v>50,00</v>
      </c>
      <c r="CH446" s="5" t="str">
        <f>"2025"</f>
        <v>2025</v>
      </c>
      <c r="CI446" s="5" t="str">
        <f>"28,00"</f>
        <v>28,00</v>
      </c>
      <c r="CJ446" s="5" t="str">
        <f>"2017"</f>
        <v>2017</v>
      </c>
    </row>
    <row r="447" spans="1:88" ht="11.25" customHeight="1">
      <c r="A447" s="3" t="str">
        <f>"1.434"</f>
        <v>1.434</v>
      </c>
      <c r="B447" s="4" t="str">
        <f>"п. Льнозавода, улица. Заводская, д.9"</f>
        <v>п. Льнозавода, улица. Заводская, д.9</v>
      </c>
      <c r="C447" s="7" t="str">
        <f>"1983"</f>
        <v>1983</v>
      </c>
      <c r="D447" s="5" t="str">
        <f t="shared" ref="D447:N447" si="707">"х"</f>
        <v>х</v>
      </c>
      <c r="E447" s="5" t="str">
        <f t="shared" si="707"/>
        <v>х</v>
      </c>
      <c r="F447" s="5" t="str">
        <f t="shared" si="707"/>
        <v>х</v>
      </c>
      <c r="G447" s="5" t="str">
        <f t="shared" si="707"/>
        <v>х</v>
      </c>
      <c r="H447" s="5" t="str">
        <f t="shared" si="707"/>
        <v>х</v>
      </c>
      <c r="I447" s="5" t="str">
        <f t="shared" si="707"/>
        <v>х</v>
      </c>
      <c r="J447" s="5" t="str">
        <f t="shared" si="707"/>
        <v>х</v>
      </c>
      <c r="K447" s="5" t="str">
        <f t="shared" si="707"/>
        <v>х</v>
      </c>
      <c r="L447" s="5" t="str">
        <f t="shared" si="707"/>
        <v>х</v>
      </c>
      <c r="M447" s="5" t="str">
        <f t="shared" si="707"/>
        <v>х</v>
      </c>
      <c r="N447" s="5" t="str">
        <f t="shared" si="707"/>
        <v>х</v>
      </c>
      <c r="O447" s="8" t="str">
        <f>""</f>
        <v/>
      </c>
      <c r="P447" s="5" t="str">
        <f>""</f>
        <v/>
      </c>
      <c r="Q447" s="5" t="str">
        <f>""</f>
        <v/>
      </c>
      <c r="R447" s="5" t="str">
        <f>""</f>
        <v/>
      </c>
      <c r="S447" s="5" t="str">
        <f>""</f>
        <v/>
      </c>
      <c r="T447" s="5" t="str">
        <f>""</f>
        <v/>
      </c>
      <c r="U447" s="5" t="str">
        <f>""</f>
        <v/>
      </c>
      <c r="V447" s="5" t="str">
        <f>""</f>
        <v/>
      </c>
      <c r="W447" s="5" t="str">
        <f>""</f>
        <v/>
      </c>
      <c r="X447" s="5" t="str">
        <f>""</f>
        <v/>
      </c>
      <c r="Y447" s="9" t="str">
        <f>""</f>
        <v/>
      </c>
      <c r="Z447" s="5" t="str">
        <f>""</f>
        <v/>
      </c>
      <c r="AA447" s="5" t="str">
        <f>""</f>
        <v/>
      </c>
      <c r="AB447" s="5" t="str">
        <f>""</f>
        <v/>
      </c>
      <c r="AC447" s="5" t="str">
        <f>""</f>
        <v/>
      </c>
      <c r="AD447" s="5" t="str">
        <f>""</f>
        <v/>
      </c>
      <c r="AE447" s="5" t="str">
        <f>""</f>
        <v/>
      </c>
      <c r="AF447" s="5" t="str">
        <f>""</f>
        <v/>
      </c>
      <c r="AG447" s="5" t="str">
        <f>""</f>
        <v/>
      </c>
      <c r="AH447" s="5" t="str">
        <f>""</f>
        <v/>
      </c>
      <c r="AI447" s="5" t="str">
        <f>""</f>
        <v/>
      </c>
      <c r="AJ447" s="5" t="str">
        <f>""</f>
        <v/>
      </c>
      <c r="AK447" s="8" t="str">
        <f t="shared" ref="AK447:BQ447" si="708">"х"</f>
        <v>х</v>
      </c>
      <c r="AL447" s="5" t="str">
        <f t="shared" si="708"/>
        <v>х</v>
      </c>
      <c r="AM447" s="5" t="str">
        <f t="shared" si="708"/>
        <v>х</v>
      </c>
      <c r="AN447" s="5" t="str">
        <f t="shared" si="708"/>
        <v>х</v>
      </c>
      <c r="AO447" s="5" t="str">
        <f t="shared" si="708"/>
        <v>х</v>
      </c>
      <c r="AP447" s="5" t="str">
        <f t="shared" si="708"/>
        <v>х</v>
      </c>
      <c r="AQ447" s="5" t="str">
        <f t="shared" si="708"/>
        <v>х</v>
      </c>
      <c r="AR447" s="5" t="str">
        <f t="shared" si="708"/>
        <v>х</v>
      </c>
      <c r="AS447" s="5" t="str">
        <f t="shared" si="708"/>
        <v>х</v>
      </c>
      <c r="AT447" s="5" t="str">
        <f t="shared" si="708"/>
        <v>х</v>
      </c>
      <c r="AU447" s="5" t="str">
        <f t="shared" si="708"/>
        <v>х</v>
      </c>
      <c r="AV447" s="5" t="str">
        <f t="shared" si="708"/>
        <v>х</v>
      </c>
      <c r="AW447" s="5" t="str">
        <f t="shared" si="708"/>
        <v>х</v>
      </c>
      <c r="AX447" s="5" t="str">
        <f t="shared" si="708"/>
        <v>х</v>
      </c>
      <c r="AY447" s="5" t="str">
        <f t="shared" si="708"/>
        <v>х</v>
      </c>
      <c r="AZ447" s="5" t="str">
        <f t="shared" si="708"/>
        <v>х</v>
      </c>
      <c r="BA447" s="5" t="str">
        <f t="shared" si="708"/>
        <v>х</v>
      </c>
      <c r="BB447" s="5" t="str">
        <f t="shared" si="708"/>
        <v>х</v>
      </c>
      <c r="BC447" s="5" t="str">
        <f t="shared" si="708"/>
        <v>х</v>
      </c>
      <c r="BD447" s="5" t="str">
        <f t="shared" si="708"/>
        <v>х</v>
      </c>
      <c r="BE447" s="5" t="str">
        <f t="shared" si="708"/>
        <v>х</v>
      </c>
      <c r="BF447" s="5" t="str">
        <f t="shared" si="708"/>
        <v>х</v>
      </c>
      <c r="BG447" s="5" t="str">
        <f t="shared" si="708"/>
        <v>х</v>
      </c>
      <c r="BH447" s="5" t="str">
        <f t="shared" si="708"/>
        <v>х</v>
      </c>
      <c r="BI447" s="5" t="str">
        <f t="shared" si="708"/>
        <v>х</v>
      </c>
      <c r="BJ447" s="5" t="str">
        <f t="shared" si="708"/>
        <v>х</v>
      </c>
      <c r="BK447" s="5" t="str">
        <f t="shared" si="708"/>
        <v>х</v>
      </c>
      <c r="BL447" s="5" t="str">
        <f t="shared" si="708"/>
        <v>х</v>
      </c>
      <c r="BM447" s="5" t="str">
        <f t="shared" si="708"/>
        <v>х</v>
      </c>
      <c r="BN447" s="5" t="str">
        <f t="shared" si="708"/>
        <v>х</v>
      </c>
      <c r="BO447" s="5" t="str">
        <f t="shared" si="708"/>
        <v>х</v>
      </c>
      <c r="BP447" s="5" t="str">
        <f t="shared" si="708"/>
        <v>х</v>
      </c>
      <c r="BQ447" s="5" t="str">
        <f t="shared" si="708"/>
        <v>х</v>
      </c>
      <c r="BR447" s="5" t="str">
        <f>""</f>
        <v/>
      </c>
      <c r="BS447" s="5" t="str">
        <f>"65,00"</f>
        <v>65,00</v>
      </c>
      <c r="BT447" s="5" t="str">
        <f>"2016"</f>
        <v>2016</v>
      </c>
      <c r="BU447" s="5" t="str">
        <f t="shared" si="689"/>
        <v>нет</v>
      </c>
      <c r="BV447" s="5" t="str">
        <f t="shared" si="699"/>
        <v>x</v>
      </c>
      <c r="BW447" s="5" t="str">
        <f t="shared" si="699"/>
        <v>x</v>
      </c>
      <c r="BX447" s="5" t="str">
        <f t="shared" si="699"/>
        <v>x</v>
      </c>
      <c r="BY447" s="5" t="str">
        <f t="shared" si="704"/>
        <v>нет</v>
      </c>
      <c r="BZ447" s="5" t="str">
        <f t="shared" si="681"/>
        <v>x</v>
      </c>
      <c r="CA447" s="5" t="str">
        <f t="shared" si="682"/>
        <v>x</v>
      </c>
      <c r="CB447" s="5" t="str">
        <f t="shared" si="682"/>
        <v>x</v>
      </c>
      <c r="CC447" s="5" t="str">
        <f>""</f>
        <v/>
      </c>
      <c r="CD447" s="5" t="str">
        <f>"60,00"</f>
        <v>60,00</v>
      </c>
      <c r="CE447" s="5" t="str">
        <f>"2017"</f>
        <v>2017</v>
      </c>
      <c r="CF447" s="5" t="str">
        <f>""</f>
        <v/>
      </c>
      <c r="CG447" s="5" t="str">
        <f>"65,00"</f>
        <v>65,00</v>
      </c>
      <c r="CH447" s="5" t="str">
        <f>"2019"</f>
        <v>2019</v>
      </c>
      <c r="CI447" s="5" t="str">
        <f>"65,00"</f>
        <v>65,00</v>
      </c>
      <c r="CJ447" s="5" t="str">
        <f>"2017"</f>
        <v>2017</v>
      </c>
    </row>
    <row r="448" spans="1:88" ht="11.25" customHeight="1">
      <c r="A448" s="3" t="str">
        <f>"1.435"</f>
        <v>1.435</v>
      </c>
      <c r="B448" s="4" t="str">
        <f>"п. Льнозавода, улица. Новая, д.1"</f>
        <v>п. Льнозавода, улица. Новая, д.1</v>
      </c>
      <c r="C448" s="7" t="str">
        <f>"1990"</f>
        <v>1990</v>
      </c>
      <c r="D448" s="5" t="str">
        <f>""</f>
        <v/>
      </c>
      <c r="E448" s="5" t="str">
        <f>"30,00"</f>
        <v>30,00</v>
      </c>
      <c r="F448" s="5" t="str">
        <f>"2026"</f>
        <v>2026</v>
      </c>
      <c r="G448" s="5" t="str">
        <f>"нет"</f>
        <v>нет</v>
      </c>
      <c r="H448" s="5" t="str">
        <f>""</f>
        <v/>
      </c>
      <c r="I448" s="5" t="str">
        <f>""</f>
        <v/>
      </c>
      <c r="J448" s="5" t="str">
        <f>""</f>
        <v/>
      </c>
      <c r="K448" s="5" t="str">
        <f>"нет"</f>
        <v>нет</v>
      </c>
      <c r="L448" s="5" t="str">
        <f>""</f>
        <v/>
      </c>
      <c r="M448" s="5" t="str">
        <f>""</f>
        <v/>
      </c>
      <c r="N448" s="5" t="str">
        <f>""</f>
        <v/>
      </c>
      <c r="O448" s="8" t="str">
        <f>""</f>
        <v/>
      </c>
      <c r="P448" s="5" t="str">
        <f>"40,00"</f>
        <v>40,00</v>
      </c>
      <c r="Q448" s="5" t="str">
        <f>"2020"</f>
        <v>2020</v>
      </c>
      <c r="R448" s="5" t="str">
        <f>"нет"</f>
        <v>нет</v>
      </c>
      <c r="S448" s="5" t="str">
        <f>""</f>
        <v/>
      </c>
      <c r="T448" s="5" t="str">
        <f>""</f>
        <v/>
      </c>
      <c r="U448" s="5" t="str">
        <f>""</f>
        <v/>
      </c>
      <c r="V448" s="5" t="str">
        <f>"нет"</f>
        <v>нет</v>
      </c>
      <c r="W448" s="5" t="str">
        <f>""</f>
        <v/>
      </c>
      <c r="X448" s="5" t="str">
        <f>""</f>
        <v/>
      </c>
      <c r="Y448" s="9" t="str">
        <f>""</f>
        <v/>
      </c>
      <c r="Z448" s="5" t="str">
        <f>""</f>
        <v/>
      </c>
      <c r="AA448" s="5" t="str">
        <f>"40,00"</f>
        <v>40,00</v>
      </c>
      <c r="AB448" s="5" t="str">
        <f>"2030"</f>
        <v>2030</v>
      </c>
      <c r="AC448" s="5" t="str">
        <f>"нет"</f>
        <v>нет</v>
      </c>
      <c r="AD448" s="5" t="str">
        <f>""</f>
        <v/>
      </c>
      <c r="AE448" s="5" t="str">
        <f>""</f>
        <v/>
      </c>
      <c r="AF448" s="5" t="str">
        <f>""</f>
        <v/>
      </c>
      <c r="AG448" s="5" t="str">
        <f>"нет"</f>
        <v>нет</v>
      </c>
      <c r="AH448" s="5" t="str">
        <f>""</f>
        <v/>
      </c>
      <c r="AI448" s="5" t="str">
        <f>""</f>
        <v/>
      </c>
      <c r="AJ448" s="5" t="str">
        <f>""</f>
        <v/>
      </c>
      <c r="AK448" s="8" t="str">
        <f>""</f>
        <v/>
      </c>
      <c r="AL448" s="5" t="str">
        <f>"19,00"</f>
        <v>19,00</v>
      </c>
      <c r="AM448" s="5" t="str">
        <f>"2018"</f>
        <v>2018</v>
      </c>
      <c r="AN448" s="5" t="str">
        <f>"нет"</f>
        <v>нет</v>
      </c>
      <c r="AO448" s="5" t="str">
        <f>""</f>
        <v/>
      </c>
      <c r="AP448" s="5" t="str">
        <f>""</f>
        <v/>
      </c>
      <c r="AQ448" s="5" t="str">
        <f>""</f>
        <v/>
      </c>
      <c r="AR448" s="5" t="str">
        <f>"нет"</f>
        <v>нет</v>
      </c>
      <c r="AS448" s="5" t="str">
        <f>""</f>
        <v/>
      </c>
      <c r="AT448" s="5" t="str">
        <f>""</f>
        <v/>
      </c>
      <c r="AU448" s="5" t="str">
        <f>""</f>
        <v/>
      </c>
      <c r="AV448" s="5" t="str">
        <f>""</f>
        <v/>
      </c>
      <c r="AW448" s="5" t="str">
        <f>"40,00"</f>
        <v>40,00</v>
      </c>
      <c r="AX448" s="5" t="str">
        <f>"2020"</f>
        <v>2020</v>
      </c>
      <c r="AY448" s="5" t="str">
        <f>"нет"</f>
        <v>нет</v>
      </c>
      <c r="AZ448" s="5" t="str">
        <f>""</f>
        <v/>
      </c>
      <c r="BA448" s="5" t="str">
        <f>""</f>
        <v/>
      </c>
      <c r="BB448" s="5" t="str">
        <f>""</f>
        <v/>
      </c>
      <c r="BC448" s="5" t="str">
        <f>"нет"</f>
        <v>нет</v>
      </c>
      <c r="BD448" s="5" t="str">
        <f>""</f>
        <v/>
      </c>
      <c r="BE448" s="5" t="str">
        <f>""</f>
        <v/>
      </c>
      <c r="BF448" s="5" t="str">
        <f>""</f>
        <v/>
      </c>
      <c r="BG448" s="5" t="str">
        <f>""</f>
        <v/>
      </c>
      <c r="BH448" s="5" t="str">
        <f>"19,00"</f>
        <v>19,00</v>
      </c>
      <c r="BI448" s="5" t="str">
        <f>"2018"</f>
        <v>2018</v>
      </c>
      <c r="BJ448" s="5" t="str">
        <f>"нет"</f>
        <v>нет</v>
      </c>
      <c r="BK448" s="5" t="str">
        <f>""</f>
        <v/>
      </c>
      <c r="BL448" s="5" t="str">
        <f>""</f>
        <v/>
      </c>
      <c r="BM448" s="5" t="str">
        <f>""</f>
        <v/>
      </c>
      <c r="BN448" s="5" t="str">
        <f>"нет"</f>
        <v>нет</v>
      </c>
      <c r="BO448" s="5" t="str">
        <f>""</f>
        <v/>
      </c>
      <c r="BP448" s="5" t="str">
        <f>""</f>
        <v/>
      </c>
      <c r="BQ448" s="5" t="str">
        <f>""</f>
        <v/>
      </c>
      <c r="BR448" s="5" t="str">
        <f>""</f>
        <v/>
      </c>
      <c r="BS448" s="5" t="str">
        <f>"19,00"</f>
        <v>19,00</v>
      </c>
      <c r="BT448" s="5" t="str">
        <f>"2020"</f>
        <v>2020</v>
      </c>
      <c r="BU448" s="5" t="str">
        <f t="shared" si="689"/>
        <v>нет</v>
      </c>
      <c r="BV448" s="5" t="str">
        <f t="shared" si="699"/>
        <v>x</v>
      </c>
      <c r="BW448" s="5" t="str">
        <f t="shared" si="699"/>
        <v>x</v>
      </c>
      <c r="BX448" s="5" t="str">
        <f t="shared" si="699"/>
        <v>x</v>
      </c>
      <c r="BY448" s="5" t="str">
        <f>"да"</f>
        <v>да</v>
      </c>
      <c r="BZ448" s="5" t="str">
        <f>""</f>
        <v/>
      </c>
      <c r="CA448" s="5" t="str">
        <f>"45,00"</f>
        <v>45,00</v>
      </c>
      <c r="CB448" s="5" t="str">
        <f>"2023"</f>
        <v>2023</v>
      </c>
      <c r="CC448" s="5" t="str">
        <f>""</f>
        <v/>
      </c>
      <c r="CD448" s="5" t="str">
        <f>"30,00"</f>
        <v>30,00</v>
      </c>
      <c r="CE448" s="5" t="str">
        <f>"2030"</f>
        <v>2030</v>
      </c>
      <c r="CF448" s="5" t="str">
        <f>""</f>
        <v/>
      </c>
      <c r="CG448" s="5" t="str">
        <f>"20,00"</f>
        <v>20,00</v>
      </c>
      <c r="CH448" s="5" t="str">
        <f>"2030"</f>
        <v>2030</v>
      </c>
      <c r="CI448" s="5" t="str">
        <f>"19,00"</f>
        <v>19,00</v>
      </c>
      <c r="CJ448" s="5" t="str">
        <f>"2022"</f>
        <v>2022</v>
      </c>
    </row>
    <row r="449" spans="1:88" ht="11.25" customHeight="1">
      <c r="A449" s="3" t="str">
        <f>"1.436"</f>
        <v>1.436</v>
      </c>
      <c r="B449" s="4" t="str">
        <f>"п. Льнозавода, улица. Новая, д.2"</f>
        <v>п. Льнозавода, улица. Новая, д.2</v>
      </c>
      <c r="C449" s="7" t="str">
        <f>"1990"</f>
        <v>1990</v>
      </c>
      <c r="D449" s="5" t="str">
        <f>""</f>
        <v/>
      </c>
      <c r="E449" s="5" t="str">
        <f>"30,00"</f>
        <v>30,00</v>
      </c>
      <c r="F449" s="5" t="str">
        <f>"2027"</f>
        <v>2027</v>
      </c>
      <c r="G449" s="5" t="str">
        <f>"нет"</f>
        <v>нет</v>
      </c>
      <c r="H449" s="5" t="str">
        <f>""</f>
        <v/>
      </c>
      <c r="I449" s="5" t="str">
        <f>""</f>
        <v/>
      </c>
      <c r="J449" s="5" t="str">
        <f>""</f>
        <v/>
      </c>
      <c r="K449" s="5" t="str">
        <f>"нет"</f>
        <v>нет</v>
      </c>
      <c r="L449" s="5" t="str">
        <f>""</f>
        <v/>
      </c>
      <c r="M449" s="5" t="str">
        <f>""</f>
        <v/>
      </c>
      <c r="N449" s="5" t="str">
        <f>""</f>
        <v/>
      </c>
      <c r="O449" s="8" t="str">
        <f>""</f>
        <v/>
      </c>
      <c r="P449" s="5" t="str">
        <f>"30,00"</f>
        <v>30,00</v>
      </c>
      <c r="Q449" s="5" t="str">
        <f>"2030"</f>
        <v>2030</v>
      </c>
      <c r="R449" s="5" t="str">
        <f>"нет"</f>
        <v>нет</v>
      </c>
      <c r="S449" s="5" t="str">
        <f>""</f>
        <v/>
      </c>
      <c r="T449" s="5" t="str">
        <f>""</f>
        <v/>
      </c>
      <c r="U449" s="5" t="str">
        <f>""</f>
        <v/>
      </c>
      <c r="V449" s="5" t="str">
        <f>"нет"</f>
        <v>нет</v>
      </c>
      <c r="W449" s="5" t="str">
        <f>""</f>
        <v/>
      </c>
      <c r="X449" s="5" t="str">
        <f>""</f>
        <v/>
      </c>
      <c r="Y449" s="9" t="str">
        <f>""</f>
        <v/>
      </c>
      <c r="Z449" s="5" t="str">
        <f>""</f>
        <v/>
      </c>
      <c r="AA449" s="5" t="str">
        <f>"30,00"</f>
        <v>30,00</v>
      </c>
      <c r="AB449" s="5" t="str">
        <f>"2030"</f>
        <v>2030</v>
      </c>
      <c r="AC449" s="5" t="str">
        <f>"нет"</f>
        <v>нет</v>
      </c>
      <c r="AD449" s="5" t="str">
        <f>""</f>
        <v/>
      </c>
      <c r="AE449" s="5" t="str">
        <f>""</f>
        <v/>
      </c>
      <c r="AF449" s="5" t="str">
        <f>""</f>
        <v/>
      </c>
      <c r="AG449" s="5" t="str">
        <f>"нет"</f>
        <v>нет</v>
      </c>
      <c r="AH449" s="5" t="str">
        <f>""</f>
        <v/>
      </c>
      <c r="AI449" s="5" t="str">
        <f>""</f>
        <v/>
      </c>
      <c r="AJ449" s="5" t="str">
        <f>""</f>
        <v/>
      </c>
      <c r="AK449" s="8" t="str">
        <f>""</f>
        <v/>
      </c>
      <c r="AL449" s="5" t="str">
        <f>"19,00"</f>
        <v>19,00</v>
      </c>
      <c r="AM449" s="5" t="str">
        <f>"2018"</f>
        <v>2018</v>
      </c>
      <c r="AN449" s="5" t="str">
        <f>"нет"</f>
        <v>нет</v>
      </c>
      <c r="AO449" s="5" t="str">
        <f>""</f>
        <v/>
      </c>
      <c r="AP449" s="5" t="str">
        <f>""</f>
        <v/>
      </c>
      <c r="AQ449" s="5" t="str">
        <f>""</f>
        <v/>
      </c>
      <c r="AR449" s="5" t="str">
        <f>"нет"</f>
        <v>нет</v>
      </c>
      <c r="AS449" s="5" t="str">
        <f>""</f>
        <v/>
      </c>
      <c r="AT449" s="5" t="str">
        <f>""</f>
        <v/>
      </c>
      <c r="AU449" s="5" t="str">
        <f>""</f>
        <v/>
      </c>
      <c r="AV449" s="5" t="str">
        <f>""</f>
        <v/>
      </c>
      <c r="AW449" s="5" t="str">
        <f>"45,00"</f>
        <v>45,00</v>
      </c>
      <c r="AX449" s="5" t="str">
        <f>"2022"</f>
        <v>2022</v>
      </c>
      <c r="AY449" s="5" t="str">
        <f>"нет"</f>
        <v>нет</v>
      </c>
      <c r="AZ449" s="5" t="str">
        <f>""</f>
        <v/>
      </c>
      <c r="BA449" s="5" t="str">
        <f>""</f>
        <v/>
      </c>
      <c r="BB449" s="5" t="str">
        <f>""</f>
        <v/>
      </c>
      <c r="BC449" s="5" t="str">
        <f>"нет"</f>
        <v>нет</v>
      </c>
      <c r="BD449" s="5" t="str">
        <f>""</f>
        <v/>
      </c>
      <c r="BE449" s="5" t="str">
        <f>""</f>
        <v/>
      </c>
      <c r="BF449" s="5" t="str">
        <f>""</f>
        <v/>
      </c>
      <c r="BG449" s="5" t="str">
        <f>""</f>
        <v/>
      </c>
      <c r="BH449" s="5" t="str">
        <f>"19,00"</f>
        <v>19,00</v>
      </c>
      <c r="BI449" s="5" t="str">
        <f>"2018"</f>
        <v>2018</v>
      </c>
      <c r="BJ449" s="5" t="str">
        <f>"нет"</f>
        <v>нет</v>
      </c>
      <c r="BK449" s="5" t="str">
        <f>""</f>
        <v/>
      </c>
      <c r="BL449" s="5" t="str">
        <f>""</f>
        <v/>
      </c>
      <c r="BM449" s="5" t="str">
        <f>""</f>
        <v/>
      </c>
      <c r="BN449" s="5" t="str">
        <f>"нет"</f>
        <v>нет</v>
      </c>
      <c r="BO449" s="5" t="str">
        <f>""</f>
        <v/>
      </c>
      <c r="BP449" s="5" t="str">
        <f>""</f>
        <v/>
      </c>
      <c r="BQ449" s="5" t="str">
        <f>""</f>
        <v/>
      </c>
      <c r="BR449" s="5" t="str">
        <f>""</f>
        <v/>
      </c>
      <c r="BS449" s="5" t="str">
        <f>"19,00"</f>
        <v>19,00</v>
      </c>
      <c r="BT449" s="5" t="str">
        <f>"2020"</f>
        <v>2020</v>
      </c>
      <c r="BU449" s="5" t="str">
        <f t="shared" si="689"/>
        <v>нет</v>
      </c>
      <c r="BV449" s="5" t="str">
        <f t="shared" si="699"/>
        <v>x</v>
      </c>
      <c r="BW449" s="5" t="str">
        <f t="shared" si="699"/>
        <v>x</v>
      </c>
      <c r="BX449" s="5" t="str">
        <f t="shared" si="699"/>
        <v>x</v>
      </c>
      <c r="BY449" s="5" t="str">
        <f>"да"</f>
        <v>да</v>
      </c>
      <c r="BZ449" s="5" t="str">
        <f>""</f>
        <v/>
      </c>
      <c r="CA449" s="5" t="str">
        <f>"40,00"</f>
        <v>40,00</v>
      </c>
      <c r="CB449" s="5" t="str">
        <f>"2027"</f>
        <v>2027</v>
      </c>
      <c r="CC449" s="5" t="str">
        <f>""</f>
        <v/>
      </c>
      <c r="CD449" s="5" t="str">
        <f>"30,00"</f>
        <v>30,00</v>
      </c>
      <c r="CE449" s="5" t="str">
        <f>"2030"</f>
        <v>2030</v>
      </c>
      <c r="CF449" s="5" t="str">
        <f>""</f>
        <v/>
      </c>
      <c r="CG449" s="5" t="str">
        <f>"30,00"</f>
        <v>30,00</v>
      </c>
      <c r="CH449" s="5" t="str">
        <f>"2030"</f>
        <v>2030</v>
      </c>
      <c r="CI449" s="5" t="str">
        <f>"19,00"</f>
        <v>19,00</v>
      </c>
      <c r="CJ449" s="5" t="str">
        <f>"2022"</f>
        <v>2022</v>
      </c>
    </row>
    <row r="450" spans="1:88" ht="11.25" customHeight="1">
      <c r="A450" s="3" t="str">
        <f>"1.437"</f>
        <v>1.437</v>
      </c>
      <c r="B450" s="4" t="str">
        <f>"п. Льнозавода, улица. Речная, д.19"</f>
        <v>п. Льнозавода, улица. Речная, д.19</v>
      </c>
      <c r="C450" s="7" t="str">
        <f>"1967"</f>
        <v>1967</v>
      </c>
      <c r="D450" s="5" t="str">
        <f t="shared" ref="D450:N455" si="709">"х"</f>
        <v>х</v>
      </c>
      <c r="E450" s="5" t="str">
        <f t="shared" si="709"/>
        <v>х</v>
      </c>
      <c r="F450" s="5" t="str">
        <f t="shared" si="709"/>
        <v>х</v>
      </c>
      <c r="G450" s="5" t="str">
        <f t="shared" si="709"/>
        <v>х</v>
      </c>
      <c r="H450" s="5" t="str">
        <f t="shared" si="709"/>
        <v>х</v>
      </c>
      <c r="I450" s="5" t="str">
        <f t="shared" si="709"/>
        <v>х</v>
      </c>
      <c r="J450" s="5" t="str">
        <f t="shared" si="709"/>
        <v>х</v>
      </c>
      <c r="K450" s="5" t="str">
        <f t="shared" si="709"/>
        <v>х</v>
      </c>
      <c r="L450" s="5" t="str">
        <f t="shared" si="709"/>
        <v>х</v>
      </c>
      <c r="M450" s="5" t="str">
        <f t="shared" si="709"/>
        <v>х</v>
      </c>
      <c r="N450" s="5" t="str">
        <f t="shared" si="709"/>
        <v>х</v>
      </c>
      <c r="O450" s="8" t="str">
        <f>""</f>
        <v/>
      </c>
      <c r="P450" s="5" t="str">
        <f>""</f>
        <v/>
      </c>
      <c r="Q450" s="5" t="str">
        <f>""</f>
        <v/>
      </c>
      <c r="R450" s="5" t="str">
        <f>""</f>
        <v/>
      </c>
      <c r="S450" s="5" t="str">
        <f>""</f>
        <v/>
      </c>
      <c r="T450" s="5" t="str">
        <f>""</f>
        <v/>
      </c>
      <c r="U450" s="5" t="str">
        <f>""</f>
        <v/>
      </c>
      <c r="V450" s="5" t="str">
        <f>""</f>
        <v/>
      </c>
      <c r="W450" s="5" t="str">
        <f>""</f>
        <v/>
      </c>
      <c r="X450" s="5" t="str">
        <f>""</f>
        <v/>
      </c>
      <c r="Y450" s="9" t="str">
        <f>""</f>
        <v/>
      </c>
      <c r="Z450" s="5" t="str">
        <f t="shared" ref="Z450:BQ450" si="710">"х"</f>
        <v>х</v>
      </c>
      <c r="AA450" s="5" t="str">
        <f t="shared" si="710"/>
        <v>х</v>
      </c>
      <c r="AB450" s="5" t="str">
        <f t="shared" si="710"/>
        <v>х</v>
      </c>
      <c r="AC450" s="5" t="str">
        <f t="shared" si="710"/>
        <v>х</v>
      </c>
      <c r="AD450" s="5" t="str">
        <f t="shared" si="710"/>
        <v>х</v>
      </c>
      <c r="AE450" s="5" t="str">
        <f t="shared" si="710"/>
        <v>х</v>
      </c>
      <c r="AF450" s="5" t="str">
        <f t="shared" si="710"/>
        <v>х</v>
      </c>
      <c r="AG450" s="5" t="str">
        <f t="shared" si="710"/>
        <v>х</v>
      </c>
      <c r="AH450" s="5" t="str">
        <f t="shared" si="710"/>
        <v>х</v>
      </c>
      <c r="AI450" s="5" t="str">
        <f t="shared" si="710"/>
        <v>х</v>
      </c>
      <c r="AJ450" s="5" t="str">
        <f t="shared" si="710"/>
        <v>х</v>
      </c>
      <c r="AK450" s="8" t="str">
        <f t="shared" si="710"/>
        <v>х</v>
      </c>
      <c r="AL450" s="5" t="str">
        <f t="shared" si="710"/>
        <v>х</v>
      </c>
      <c r="AM450" s="5" t="str">
        <f t="shared" si="710"/>
        <v>х</v>
      </c>
      <c r="AN450" s="5" t="str">
        <f t="shared" si="710"/>
        <v>х</v>
      </c>
      <c r="AO450" s="5" t="str">
        <f t="shared" si="710"/>
        <v>х</v>
      </c>
      <c r="AP450" s="5" t="str">
        <f t="shared" si="710"/>
        <v>х</v>
      </c>
      <c r="AQ450" s="5" t="str">
        <f t="shared" si="710"/>
        <v>х</v>
      </c>
      <c r="AR450" s="5" t="str">
        <f t="shared" si="710"/>
        <v>х</v>
      </c>
      <c r="AS450" s="5" t="str">
        <f t="shared" si="710"/>
        <v>х</v>
      </c>
      <c r="AT450" s="5" t="str">
        <f t="shared" si="710"/>
        <v>х</v>
      </c>
      <c r="AU450" s="5" t="str">
        <f t="shared" si="710"/>
        <v>х</v>
      </c>
      <c r="AV450" s="5" t="str">
        <f t="shared" si="710"/>
        <v>х</v>
      </c>
      <c r="AW450" s="5" t="str">
        <f t="shared" si="710"/>
        <v>х</v>
      </c>
      <c r="AX450" s="5" t="str">
        <f t="shared" si="710"/>
        <v>х</v>
      </c>
      <c r="AY450" s="5" t="str">
        <f t="shared" si="710"/>
        <v>х</v>
      </c>
      <c r="AZ450" s="5" t="str">
        <f t="shared" si="710"/>
        <v>х</v>
      </c>
      <c r="BA450" s="5" t="str">
        <f t="shared" si="710"/>
        <v>х</v>
      </c>
      <c r="BB450" s="5" t="str">
        <f t="shared" si="710"/>
        <v>х</v>
      </c>
      <c r="BC450" s="5" t="str">
        <f t="shared" si="710"/>
        <v>х</v>
      </c>
      <c r="BD450" s="5" t="str">
        <f t="shared" si="710"/>
        <v>х</v>
      </c>
      <c r="BE450" s="5" t="str">
        <f t="shared" si="710"/>
        <v>х</v>
      </c>
      <c r="BF450" s="5" t="str">
        <f t="shared" si="710"/>
        <v>х</v>
      </c>
      <c r="BG450" s="5" t="str">
        <f t="shared" si="710"/>
        <v>х</v>
      </c>
      <c r="BH450" s="5" t="str">
        <f t="shared" si="710"/>
        <v>х</v>
      </c>
      <c r="BI450" s="5" t="str">
        <f t="shared" si="710"/>
        <v>х</v>
      </c>
      <c r="BJ450" s="5" t="str">
        <f t="shared" si="710"/>
        <v>х</v>
      </c>
      <c r="BK450" s="5" t="str">
        <f t="shared" si="710"/>
        <v>х</v>
      </c>
      <c r="BL450" s="5" t="str">
        <f t="shared" si="710"/>
        <v>х</v>
      </c>
      <c r="BM450" s="5" t="str">
        <f t="shared" si="710"/>
        <v>х</v>
      </c>
      <c r="BN450" s="5" t="str">
        <f t="shared" si="710"/>
        <v>х</v>
      </c>
      <c r="BO450" s="5" t="str">
        <f t="shared" si="710"/>
        <v>х</v>
      </c>
      <c r="BP450" s="5" t="str">
        <f t="shared" si="710"/>
        <v>х</v>
      </c>
      <c r="BQ450" s="5" t="str">
        <f t="shared" si="710"/>
        <v>х</v>
      </c>
      <c r="BR450" s="5" t="str">
        <f>""</f>
        <v/>
      </c>
      <c r="BS450" s="5" t="str">
        <f>"65,00"</f>
        <v>65,00</v>
      </c>
      <c r="BT450" s="5" t="str">
        <f>"2016"</f>
        <v>2016</v>
      </c>
      <c r="BU450" s="5" t="str">
        <f t="shared" si="689"/>
        <v>нет</v>
      </c>
      <c r="BV450" s="5" t="str">
        <f t="shared" si="699"/>
        <v>x</v>
      </c>
      <c r="BW450" s="5" t="str">
        <f t="shared" si="699"/>
        <v>x</v>
      </c>
      <c r="BX450" s="5" t="str">
        <f t="shared" si="699"/>
        <v>x</v>
      </c>
      <c r="BY450" s="5" t="str">
        <f t="shared" ref="BY450:BY463" si="711">"нет"</f>
        <v>нет</v>
      </c>
      <c r="BZ450" s="5" t="str">
        <f t="shared" ref="BZ450:CB463" si="712">"x"</f>
        <v>x</v>
      </c>
      <c r="CA450" s="5" t="str">
        <f t="shared" si="712"/>
        <v>x</v>
      </c>
      <c r="CB450" s="5" t="str">
        <f t="shared" si="712"/>
        <v>x</v>
      </c>
      <c r="CC450" s="5" t="str">
        <f>""</f>
        <v/>
      </c>
      <c r="CD450" s="5" t="str">
        <f>"65,00"</f>
        <v>65,00</v>
      </c>
      <c r="CE450" s="5" t="str">
        <f>"2017"</f>
        <v>2017</v>
      </c>
      <c r="CF450" s="5" t="str">
        <f>""</f>
        <v/>
      </c>
      <c r="CG450" s="5" t="str">
        <f>"65,00"</f>
        <v>65,00</v>
      </c>
      <c r="CH450" s="5" t="str">
        <f>"2017"</f>
        <v>2017</v>
      </c>
      <c r="CI450" s="5" t="str">
        <f>"65,00"</f>
        <v>65,00</v>
      </c>
      <c r="CJ450" s="5" t="str">
        <f>"2016"</f>
        <v>2016</v>
      </c>
    </row>
    <row r="451" spans="1:88" ht="11.25" customHeight="1">
      <c r="A451" s="3" t="str">
        <f>"1.438"</f>
        <v>1.438</v>
      </c>
      <c r="B451" s="4" t="str">
        <f>"п. Льнозавода, улица. Речная, д.24"</f>
        <v>п. Льнозавода, улица. Речная, д.24</v>
      </c>
      <c r="C451" s="7" t="str">
        <f>"1987"</f>
        <v>1987</v>
      </c>
      <c r="D451" s="5" t="str">
        <f t="shared" si="709"/>
        <v>х</v>
      </c>
      <c r="E451" s="5" t="str">
        <f t="shared" si="709"/>
        <v>х</v>
      </c>
      <c r="F451" s="5" t="str">
        <f t="shared" si="709"/>
        <v>х</v>
      </c>
      <c r="G451" s="5" t="str">
        <f t="shared" si="709"/>
        <v>х</v>
      </c>
      <c r="H451" s="5" t="str">
        <f t="shared" si="709"/>
        <v>х</v>
      </c>
      <c r="I451" s="5" t="str">
        <f t="shared" si="709"/>
        <v>х</v>
      </c>
      <c r="J451" s="5" t="str">
        <f t="shared" si="709"/>
        <v>х</v>
      </c>
      <c r="K451" s="5" t="str">
        <f t="shared" si="709"/>
        <v>х</v>
      </c>
      <c r="L451" s="5" t="str">
        <f t="shared" si="709"/>
        <v>х</v>
      </c>
      <c r="M451" s="5" t="str">
        <f t="shared" si="709"/>
        <v>х</v>
      </c>
      <c r="N451" s="5" t="str">
        <f t="shared" si="709"/>
        <v>х</v>
      </c>
      <c r="O451" s="8" t="str">
        <f>""</f>
        <v/>
      </c>
      <c r="P451" s="5" t="str">
        <f>""</f>
        <v/>
      </c>
      <c r="Q451" s="5" t="str">
        <f>""</f>
        <v/>
      </c>
      <c r="R451" s="5" t="str">
        <f>""</f>
        <v/>
      </c>
      <c r="S451" s="5" t="str">
        <f>""</f>
        <v/>
      </c>
      <c r="T451" s="5" t="str">
        <f>""</f>
        <v/>
      </c>
      <c r="U451" s="5" t="str">
        <f>""</f>
        <v/>
      </c>
      <c r="V451" s="5" t="str">
        <f>""</f>
        <v/>
      </c>
      <c r="W451" s="5" t="str">
        <f>""</f>
        <v/>
      </c>
      <c r="X451" s="5" t="str">
        <f>""</f>
        <v/>
      </c>
      <c r="Y451" s="9" t="str">
        <f>""</f>
        <v/>
      </c>
      <c r="Z451" s="5" t="str">
        <f>""</f>
        <v/>
      </c>
      <c r="AA451" s="5" t="str">
        <f>""</f>
        <v/>
      </c>
      <c r="AB451" s="5" t="str">
        <f>""</f>
        <v/>
      </c>
      <c r="AC451" s="5" t="str">
        <f>""</f>
        <v/>
      </c>
      <c r="AD451" s="5" t="str">
        <f>""</f>
        <v/>
      </c>
      <c r="AE451" s="5" t="str">
        <f>""</f>
        <v/>
      </c>
      <c r="AF451" s="5" t="str">
        <f>""</f>
        <v/>
      </c>
      <c r="AG451" s="5" t="str">
        <f>""</f>
        <v/>
      </c>
      <c r="AH451" s="5" t="str">
        <f>""</f>
        <v/>
      </c>
      <c r="AI451" s="5" t="str">
        <f>""</f>
        <v/>
      </c>
      <c r="AJ451" s="5" t="str">
        <f>""</f>
        <v/>
      </c>
      <c r="AK451" s="8" t="str">
        <f t="shared" ref="AK451:AT463" si="713">"х"</f>
        <v>х</v>
      </c>
      <c r="AL451" s="5" t="str">
        <f t="shared" si="713"/>
        <v>х</v>
      </c>
      <c r="AM451" s="5" t="str">
        <f t="shared" si="713"/>
        <v>х</v>
      </c>
      <c r="AN451" s="5" t="str">
        <f t="shared" si="713"/>
        <v>х</v>
      </c>
      <c r="AO451" s="5" t="str">
        <f t="shared" si="713"/>
        <v>х</v>
      </c>
      <c r="AP451" s="5" t="str">
        <f t="shared" si="713"/>
        <v>х</v>
      </c>
      <c r="AQ451" s="5" t="str">
        <f t="shared" si="713"/>
        <v>х</v>
      </c>
      <c r="AR451" s="5" t="str">
        <f t="shared" si="713"/>
        <v>х</v>
      </c>
      <c r="AS451" s="5" t="str">
        <f t="shared" si="713"/>
        <v>х</v>
      </c>
      <c r="AT451" s="5" t="str">
        <f t="shared" si="713"/>
        <v>х</v>
      </c>
      <c r="AU451" s="5" t="str">
        <f t="shared" ref="AU451:BD463" si="714">"х"</f>
        <v>х</v>
      </c>
      <c r="AV451" s="5" t="str">
        <f t="shared" si="714"/>
        <v>х</v>
      </c>
      <c r="AW451" s="5" t="str">
        <f t="shared" si="714"/>
        <v>х</v>
      </c>
      <c r="AX451" s="5" t="str">
        <f t="shared" si="714"/>
        <v>х</v>
      </c>
      <c r="AY451" s="5" t="str">
        <f t="shared" si="714"/>
        <v>х</v>
      </c>
      <c r="AZ451" s="5" t="str">
        <f t="shared" si="714"/>
        <v>х</v>
      </c>
      <c r="BA451" s="5" t="str">
        <f t="shared" si="714"/>
        <v>х</v>
      </c>
      <c r="BB451" s="5" t="str">
        <f t="shared" si="714"/>
        <v>х</v>
      </c>
      <c r="BC451" s="5" t="str">
        <f t="shared" si="714"/>
        <v>х</v>
      </c>
      <c r="BD451" s="5" t="str">
        <f t="shared" si="714"/>
        <v>х</v>
      </c>
      <c r="BE451" s="5" t="str">
        <f t="shared" ref="BE451:BQ463" si="715">"х"</f>
        <v>х</v>
      </c>
      <c r="BF451" s="5" t="str">
        <f t="shared" si="715"/>
        <v>х</v>
      </c>
      <c r="BG451" s="5" t="str">
        <f t="shared" si="715"/>
        <v>х</v>
      </c>
      <c r="BH451" s="5" t="str">
        <f t="shared" si="715"/>
        <v>х</v>
      </c>
      <c r="BI451" s="5" t="str">
        <f t="shared" si="715"/>
        <v>х</v>
      </c>
      <c r="BJ451" s="5" t="str">
        <f t="shared" si="715"/>
        <v>х</v>
      </c>
      <c r="BK451" s="5" t="str">
        <f t="shared" si="715"/>
        <v>х</v>
      </c>
      <c r="BL451" s="5" t="str">
        <f t="shared" si="715"/>
        <v>х</v>
      </c>
      <c r="BM451" s="5" t="str">
        <f t="shared" si="715"/>
        <v>х</v>
      </c>
      <c r="BN451" s="5" t="str">
        <f t="shared" si="715"/>
        <v>х</v>
      </c>
      <c r="BO451" s="5" t="str">
        <f t="shared" si="715"/>
        <v>х</v>
      </c>
      <c r="BP451" s="5" t="str">
        <f t="shared" si="715"/>
        <v>х</v>
      </c>
      <c r="BQ451" s="5" t="str">
        <f t="shared" si="715"/>
        <v>х</v>
      </c>
      <c r="BR451" s="5" t="str">
        <f>""</f>
        <v/>
      </c>
      <c r="BS451" s="5" t="str">
        <f>"55,00"</f>
        <v>55,00</v>
      </c>
      <c r="BT451" s="5" t="str">
        <f>"2016"</f>
        <v>2016</v>
      </c>
      <c r="BU451" s="5" t="str">
        <f t="shared" si="689"/>
        <v>нет</v>
      </c>
      <c r="BV451" s="5" t="str">
        <f t="shared" si="699"/>
        <v>x</v>
      </c>
      <c r="BW451" s="5" t="str">
        <f t="shared" si="699"/>
        <v>x</v>
      </c>
      <c r="BX451" s="5" t="str">
        <f t="shared" si="699"/>
        <v>x</v>
      </c>
      <c r="BY451" s="5" t="str">
        <f t="shared" si="711"/>
        <v>нет</v>
      </c>
      <c r="BZ451" s="5" t="str">
        <f t="shared" si="712"/>
        <v>x</v>
      </c>
      <c r="CA451" s="5" t="str">
        <f t="shared" si="712"/>
        <v>x</v>
      </c>
      <c r="CB451" s="5" t="str">
        <f t="shared" si="712"/>
        <v>x</v>
      </c>
      <c r="CC451" s="5" t="str">
        <f>""</f>
        <v/>
      </c>
      <c r="CD451" s="5" t="str">
        <f>"50,00"</f>
        <v>50,00</v>
      </c>
      <c r="CE451" s="5" t="str">
        <f>"2021"</f>
        <v>2021</v>
      </c>
      <c r="CF451" s="5" t="str">
        <f>""</f>
        <v/>
      </c>
      <c r="CG451" s="5" t="str">
        <f>"55,00"</f>
        <v>55,00</v>
      </c>
      <c r="CH451" s="5" t="str">
        <f>"2017"</f>
        <v>2017</v>
      </c>
      <c r="CI451" s="5" t="str">
        <f>"55,00"</f>
        <v>55,00</v>
      </c>
      <c r="CJ451" s="5" t="str">
        <f>"2021"</f>
        <v>2021</v>
      </c>
    </row>
    <row r="452" spans="1:88" ht="11.25" customHeight="1">
      <c r="A452" s="3" t="str">
        <f>"1.439"</f>
        <v>1.439</v>
      </c>
      <c r="B452" s="4" t="str">
        <f>"п. Льнозавода, улица. Речная, д.30"</f>
        <v>п. Льнозавода, улица. Речная, д.30</v>
      </c>
      <c r="C452" s="7" t="str">
        <f>"1956"</f>
        <v>1956</v>
      </c>
      <c r="D452" s="5" t="str">
        <f t="shared" si="709"/>
        <v>х</v>
      </c>
      <c r="E452" s="5" t="str">
        <f t="shared" si="709"/>
        <v>х</v>
      </c>
      <c r="F452" s="5" t="str">
        <f t="shared" si="709"/>
        <v>х</v>
      </c>
      <c r="G452" s="5" t="str">
        <f t="shared" si="709"/>
        <v>х</v>
      </c>
      <c r="H452" s="5" t="str">
        <f t="shared" si="709"/>
        <v>х</v>
      </c>
      <c r="I452" s="5" t="str">
        <f t="shared" si="709"/>
        <v>х</v>
      </c>
      <c r="J452" s="5" t="str">
        <f t="shared" si="709"/>
        <v>х</v>
      </c>
      <c r="K452" s="5" t="str">
        <f t="shared" si="709"/>
        <v>х</v>
      </c>
      <c r="L452" s="5" t="str">
        <f t="shared" si="709"/>
        <v>х</v>
      </c>
      <c r="M452" s="5" t="str">
        <f t="shared" si="709"/>
        <v>х</v>
      </c>
      <c r="N452" s="5" t="str">
        <f t="shared" si="709"/>
        <v>х</v>
      </c>
      <c r="O452" s="8" t="str">
        <f>""</f>
        <v/>
      </c>
      <c r="P452" s="5" t="str">
        <f>""</f>
        <v/>
      </c>
      <c r="Q452" s="5" t="str">
        <f>""</f>
        <v/>
      </c>
      <c r="R452" s="5" t="str">
        <f>""</f>
        <v/>
      </c>
      <c r="S452" s="5" t="str">
        <f>""</f>
        <v/>
      </c>
      <c r="T452" s="5" t="str">
        <f>""</f>
        <v/>
      </c>
      <c r="U452" s="5" t="str">
        <f>""</f>
        <v/>
      </c>
      <c r="V452" s="5" t="str">
        <f>""</f>
        <v/>
      </c>
      <c r="W452" s="5" t="str">
        <f>""</f>
        <v/>
      </c>
      <c r="X452" s="5" t="str">
        <f>""</f>
        <v/>
      </c>
      <c r="Y452" s="9" t="str">
        <f>""</f>
        <v/>
      </c>
      <c r="Z452" s="5" t="str">
        <f>""</f>
        <v/>
      </c>
      <c r="AA452" s="5" t="str">
        <f>""</f>
        <v/>
      </c>
      <c r="AB452" s="5" t="str">
        <f>""</f>
        <v/>
      </c>
      <c r="AC452" s="5" t="str">
        <f>""</f>
        <v/>
      </c>
      <c r="AD452" s="5" t="str">
        <f>""</f>
        <v/>
      </c>
      <c r="AE452" s="5" t="str">
        <f>""</f>
        <v/>
      </c>
      <c r="AF452" s="5" t="str">
        <f>""</f>
        <v/>
      </c>
      <c r="AG452" s="5" t="str">
        <f>""</f>
        <v/>
      </c>
      <c r="AH452" s="5" t="str">
        <f>""</f>
        <v/>
      </c>
      <c r="AI452" s="5" t="str">
        <f>""</f>
        <v/>
      </c>
      <c r="AJ452" s="5" t="str">
        <f>""</f>
        <v/>
      </c>
      <c r="AK452" s="8" t="str">
        <f t="shared" si="713"/>
        <v>х</v>
      </c>
      <c r="AL452" s="5" t="str">
        <f t="shared" si="713"/>
        <v>х</v>
      </c>
      <c r="AM452" s="5" t="str">
        <f t="shared" si="713"/>
        <v>х</v>
      </c>
      <c r="AN452" s="5" t="str">
        <f t="shared" si="713"/>
        <v>х</v>
      </c>
      <c r="AO452" s="5" t="str">
        <f t="shared" si="713"/>
        <v>х</v>
      </c>
      <c r="AP452" s="5" t="str">
        <f t="shared" si="713"/>
        <v>х</v>
      </c>
      <c r="AQ452" s="5" t="str">
        <f t="shared" si="713"/>
        <v>х</v>
      </c>
      <c r="AR452" s="5" t="str">
        <f t="shared" si="713"/>
        <v>х</v>
      </c>
      <c r="AS452" s="5" t="str">
        <f t="shared" si="713"/>
        <v>х</v>
      </c>
      <c r="AT452" s="5" t="str">
        <f t="shared" si="713"/>
        <v>х</v>
      </c>
      <c r="AU452" s="5" t="str">
        <f t="shared" si="714"/>
        <v>х</v>
      </c>
      <c r="AV452" s="5" t="str">
        <f t="shared" si="714"/>
        <v>х</v>
      </c>
      <c r="AW452" s="5" t="str">
        <f t="shared" si="714"/>
        <v>х</v>
      </c>
      <c r="AX452" s="5" t="str">
        <f t="shared" si="714"/>
        <v>х</v>
      </c>
      <c r="AY452" s="5" t="str">
        <f t="shared" si="714"/>
        <v>х</v>
      </c>
      <c r="AZ452" s="5" t="str">
        <f t="shared" si="714"/>
        <v>х</v>
      </c>
      <c r="BA452" s="5" t="str">
        <f t="shared" si="714"/>
        <v>х</v>
      </c>
      <c r="BB452" s="5" t="str">
        <f t="shared" si="714"/>
        <v>х</v>
      </c>
      <c r="BC452" s="5" t="str">
        <f t="shared" si="714"/>
        <v>х</v>
      </c>
      <c r="BD452" s="5" t="str">
        <f t="shared" si="714"/>
        <v>х</v>
      </c>
      <c r="BE452" s="5" t="str">
        <f t="shared" si="715"/>
        <v>х</v>
      </c>
      <c r="BF452" s="5" t="str">
        <f t="shared" si="715"/>
        <v>х</v>
      </c>
      <c r="BG452" s="5" t="str">
        <f t="shared" si="715"/>
        <v>х</v>
      </c>
      <c r="BH452" s="5" t="str">
        <f t="shared" si="715"/>
        <v>х</v>
      </c>
      <c r="BI452" s="5" t="str">
        <f t="shared" si="715"/>
        <v>х</v>
      </c>
      <c r="BJ452" s="5" t="str">
        <f t="shared" si="715"/>
        <v>х</v>
      </c>
      <c r="BK452" s="5" t="str">
        <f t="shared" si="715"/>
        <v>х</v>
      </c>
      <c r="BL452" s="5" t="str">
        <f t="shared" si="715"/>
        <v>х</v>
      </c>
      <c r="BM452" s="5" t="str">
        <f t="shared" si="715"/>
        <v>х</v>
      </c>
      <c r="BN452" s="5" t="str">
        <f t="shared" si="715"/>
        <v>х</v>
      </c>
      <c r="BO452" s="5" t="str">
        <f t="shared" si="715"/>
        <v>х</v>
      </c>
      <c r="BP452" s="5" t="str">
        <f t="shared" si="715"/>
        <v>х</v>
      </c>
      <c r="BQ452" s="5" t="str">
        <f t="shared" si="715"/>
        <v>х</v>
      </c>
      <c r="BR452" s="5" t="str">
        <f>""</f>
        <v/>
      </c>
      <c r="BS452" s="5" t="str">
        <f>"65,00"</f>
        <v>65,00</v>
      </c>
      <c r="BT452" s="5" t="str">
        <f>"2016"</f>
        <v>2016</v>
      </c>
      <c r="BU452" s="5" t="str">
        <f t="shared" si="689"/>
        <v>нет</v>
      </c>
      <c r="BV452" s="5" t="str">
        <f t="shared" si="699"/>
        <v>x</v>
      </c>
      <c r="BW452" s="5" t="str">
        <f t="shared" si="699"/>
        <v>x</v>
      </c>
      <c r="BX452" s="5" t="str">
        <f t="shared" si="699"/>
        <v>x</v>
      </c>
      <c r="BY452" s="5" t="str">
        <f t="shared" si="711"/>
        <v>нет</v>
      </c>
      <c r="BZ452" s="5" t="str">
        <f t="shared" si="712"/>
        <v>x</v>
      </c>
      <c r="CA452" s="5" t="str">
        <f t="shared" si="712"/>
        <v>x</v>
      </c>
      <c r="CB452" s="5" t="str">
        <f t="shared" si="712"/>
        <v>x</v>
      </c>
      <c r="CC452" s="5" t="str">
        <f>""</f>
        <v/>
      </c>
      <c r="CD452" s="5" t="str">
        <f>"60,00"</f>
        <v>60,00</v>
      </c>
      <c r="CE452" s="5" t="str">
        <f>"2018"</f>
        <v>2018</v>
      </c>
      <c r="CF452" s="5" t="str">
        <f>""</f>
        <v/>
      </c>
      <c r="CG452" s="5" t="str">
        <f>"65,00"</f>
        <v>65,00</v>
      </c>
      <c r="CH452" s="5" t="str">
        <f>"2017"</f>
        <v>2017</v>
      </c>
      <c r="CI452" s="5" t="str">
        <f>"65,00"</f>
        <v>65,00</v>
      </c>
      <c r="CJ452" s="5" t="str">
        <f>"2018"</f>
        <v>2018</v>
      </c>
    </row>
    <row r="453" spans="1:88" ht="11.25" customHeight="1">
      <c r="A453" s="3" t="str">
        <f>"1.440"</f>
        <v>1.440</v>
      </c>
      <c r="B453" s="4" t="str">
        <f>"п. Льнозавода, улица. Речная, д.35"</f>
        <v>п. Льнозавода, улица. Речная, д.35</v>
      </c>
      <c r="C453" s="7" t="str">
        <f>"1976"</f>
        <v>1976</v>
      </c>
      <c r="D453" s="5" t="str">
        <f t="shared" si="709"/>
        <v>х</v>
      </c>
      <c r="E453" s="5" t="str">
        <f t="shared" si="709"/>
        <v>х</v>
      </c>
      <c r="F453" s="5" t="str">
        <f t="shared" si="709"/>
        <v>х</v>
      </c>
      <c r="G453" s="5" t="str">
        <f t="shared" si="709"/>
        <v>х</v>
      </c>
      <c r="H453" s="5" t="str">
        <f t="shared" si="709"/>
        <v>х</v>
      </c>
      <c r="I453" s="5" t="str">
        <f t="shared" si="709"/>
        <v>х</v>
      </c>
      <c r="J453" s="5" t="str">
        <f t="shared" si="709"/>
        <v>х</v>
      </c>
      <c r="K453" s="5" t="str">
        <f t="shared" si="709"/>
        <v>х</v>
      </c>
      <c r="L453" s="5" t="str">
        <f t="shared" si="709"/>
        <v>х</v>
      </c>
      <c r="M453" s="5" t="str">
        <f t="shared" si="709"/>
        <v>х</v>
      </c>
      <c r="N453" s="5" t="str">
        <f t="shared" si="709"/>
        <v>х</v>
      </c>
      <c r="O453" s="8" t="str">
        <f>""</f>
        <v/>
      </c>
      <c r="P453" s="5" t="str">
        <f>""</f>
        <v/>
      </c>
      <c r="Q453" s="5" t="str">
        <f>""</f>
        <v/>
      </c>
      <c r="R453" s="5" t="str">
        <f>""</f>
        <v/>
      </c>
      <c r="S453" s="5" t="str">
        <f>""</f>
        <v/>
      </c>
      <c r="T453" s="5" t="str">
        <f>""</f>
        <v/>
      </c>
      <c r="U453" s="5" t="str">
        <f>""</f>
        <v/>
      </c>
      <c r="V453" s="5" t="str">
        <f>""</f>
        <v/>
      </c>
      <c r="W453" s="5" t="str">
        <f>""</f>
        <v/>
      </c>
      <c r="X453" s="5" t="str">
        <f>""</f>
        <v/>
      </c>
      <c r="Y453" s="9" t="str">
        <f>""</f>
        <v/>
      </c>
      <c r="Z453" s="5" t="str">
        <f>""</f>
        <v/>
      </c>
      <c r="AA453" s="5" t="str">
        <f>""</f>
        <v/>
      </c>
      <c r="AB453" s="5" t="str">
        <f>""</f>
        <v/>
      </c>
      <c r="AC453" s="5" t="str">
        <f>""</f>
        <v/>
      </c>
      <c r="AD453" s="5" t="str">
        <f>""</f>
        <v/>
      </c>
      <c r="AE453" s="5" t="str">
        <f>""</f>
        <v/>
      </c>
      <c r="AF453" s="5" t="str">
        <f>""</f>
        <v/>
      </c>
      <c r="AG453" s="5" t="str">
        <f>""</f>
        <v/>
      </c>
      <c r="AH453" s="5" t="str">
        <f>""</f>
        <v/>
      </c>
      <c r="AI453" s="5" t="str">
        <f>""</f>
        <v/>
      </c>
      <c r="AJ453" s="5" t="str">
        <f>""</f>
        <v/>
      </c>
      <c r="AK453" s="8" t="str">
        <f t="shared" si="713"/>
        <v>х</v>
      </c>
      <c r="AL453" s="5" t="str">
        <f t="shared" si="713"/>
        <v>х</v>
      </c>
      <c r="AM453" s="5" t="str">
        <f t="shared" si="713"/>
        <v>х</v>
      </c>
      <c r="AN453" s="5" t="str">
        <f t="shared" si="713"/>
        <v>х</v>
      </c>
      <c r="AO453" s="5" t="str">
        <f t="shared" si="713"/>
        <v>х</v>
      </c>
      <c r="AP453" s="5" t="str">
        <f t="shared" si="713"/>
        <v>х</v>
      </c>
      <c r="AQ453" s="5" t="str">
        <f t="shared" si="713"/>
        <v>х</v>
      </c>
      <c r="AR453" s="5" t="str">
        <f t="shared" si="713"/>
        <v>х</v>
      </c>
      <c r="AS453" s="5" t="str">
        <f t="shared" si="713"/>
        <v>х</v>
      </c>
      <c r="AT453" s="5" t="str">
        <f t="shared" si="713"/>
        <v>х</v>
      </c>
      <c r="AU453" s="5" t="str">
        <f t="shared" si="714"/>
        <v>х</v>
      </c>
      <c r="AV453" s="5" t="str">
        <f t="shared" si="714"/>
        <v>х</v>
      </c>
      <c r="AW453" s="5" t="str">
        <f t="shared" si="714"/>
        <v>х</v>
      </c>
      <c r="AX453" s="5" t="str">
        <f t="shared" si="714"/>
        <v>х</v>
      </c>
      <c r="AY453" s="5" t="str">
        <f t="shared" si="714"/>
        <v>х</v>
      </c>
      <c r="AZ453" s="5" t="str">
        <f t="shared" si="714"/>
        <v>х</v>
      </c>
      <c r="BA453" s="5" t="str">
        <f t="shared" si="714"/>
        <v>х</v>
      </c>
      <c r="BB453" s="5" t="str">
        <f t="shared" si="714"/>
        <v>х</v>
      </c>
      <c r="BC453" s="5" t="str">
        <f t="shared" si="714"/>
        <v>х</v>
      </c>
      <c r="BD453" s="5" t="str">
        <f t="shared" si="714"/>
        <v>х</v>
      </c>
      <c r="BE453" s="5" t="str">
        <f t="shared" si="715"/>
        <v>х</v>
      </c>
      <c r="BF453" s="5" t="str">
        <f t="shared" si="715"/>
        <v>х</v>
      </c>
      <c r="BG453" s="5" t="str">
        <f t="shared" si="715"/>
        <v>х</v>
      </c>
      <c r="BH453" s="5" t="str">
        <f t="shared" si="715"/>
        <v>х</v>
      </c>
      <c r="BI453" s="5" t="str">
        <f t="shared" si="715"/>
        <v>х</v>
      </c>
      <c r="BJ453" s="5" t="str">
        <f t="shared" si="715"/>
        <v>х</v>
      </c>
      <c r="BK453" s="5" t="str">
        <f t="shared" si="715"/>
        <v>х</v>
      </c>
      <c r="BL453" s="5" t="str">
        <f t="shared" si="715"/>
        <v>х</v>
      </c>
      <c r="BM453" s="5" t="str">
        <f t="shared" si="715"/>
        <v>х</v>
      </c>
      <c r="BN453" s="5" t="str">
        <f t="shared" si="715"/>
        <v>х</v>
      </c>
      <c r="BO453" s="5" t="str">
        <f t="shared" si="715"/>
        <v>х</v>
      </c>
      <c r="BP453" s="5" t="str">
        <f t="shared" si="715"/>
        <v>х</v>
      </c>
      <c r="BQ453" s="5" t="str">
        <f t="shared" si="715"/>
        <v>х</v>
      </c>
      <c r="BR453" s="5" t="str">
        <f>"2013"</f>
        <v>2013</v>
      </c>
      <c r="BS453" s="5" t="str">
        <f>"0,00"</f>
        <v>0,00</v>
      </c>
      <c r="BT453" s="5" t="str">
        <f>"2030"</f>
        <v>2030</v>
      </c>
      <c r="BU453" s="5" t="str">
        <f t="shared" si="689"/>
        <v>нет</v>
      </c>
      <c r="BV453" s="5" t="str">
        <f t="shared" si="699"/>
        <v>x</v>
      </c>
      <c r="BW453" s="5" t="str">
        <f t="shared" si="699"/>
        <v>x</v>
      </c>
      <c r="BX453" s="5" t="str">
        <f t="shared" si="699"/>
        <v>x</v>
      </c>
      <c r="BY453" s="5" t="str">
        <f t="shared" si="711"/>
        <v>нет</v>
      </c>
      <c r="BZ453" s="5" t="str">
        <f t="shared" si="712"/>
        <v>x</v>
      </c>
      <c r="CA453" s="5" t="str">
        <f t="shared" si="712"/>
        <v>x</v>
      </c>
      <c r="CB453" s="5" t="str">
        <f t="shared" si="712"/>
        <v>x</v>
      </c>
      <c r="CC453" s="5" t="str">
        <f>""</f>
        <v/>
      </c>
      <c r="CD453" s="5" t="str">
        <f>"60,00"</f>
        <v>60,00</v>
      </c>
      <c r="CE453" s="5" t="str">
        <f>"2017"</f>
        <v>2017</v>
      </c>
      <c r="CF453" s="5" t="str">
        <f>""</f>
        <v/>
      </c>
      <c r="CG453" s="5" t="str">
        <f>"65,00"</f>
        <v>65,00</v>
      </c>
      <c r="CH453" s="5" t="str">
        <f>"2016"</f>
        <v>2016</v>
      </c>
      <c r="CI453" s="5" t="str">
        <f>"65,00"</f>
        <v>65,00</v>
      </c>
      <c r="CJ453" s="5" t="str">
        <f>"2043"</f>
        <v>2043</v>
      </c>
    </row>
    <row r="454" spans="1:88" ht="11.25" customHeight="1">
      <c r="A454" s="3" t="str">
        <f>"1.441"</f>
        <v>1.441</v>
      </c>
      <c r="B454" s="4" t="str">
        <f>"п. Льнозавода, улица. Речная, д.9"</f>
        <v>п. Льнозавода, улица. Речная, д.9</v>
      </c>
      <c r="C454" s="7" t="str">
        <f>"1989"</f>
        <v>1989</v>
      </c>
      <c r="D454" s="5" t="str">
        <f t="shared" si="709"/>
        <v>х</v>
      </c>
      <c r="E454" s="5" t="str">
        <f t="shared" si="709"/>
        <v>х</v>
      </c>
      <c r="F454" s="5" t="str">
        <f t="shared" si="709"/>
        <v>х</v>
      </c>
      <c r="G454" s="5" t="str">
        <f t="shared" si="709"/>
        <v>х</v>
      </c>
      <c r="H454" s="5" t="str">
        <f t="shared" si="709"/>
        <v>х</v>
      </c>
      <c r="I454" s="5" t="str">
        <f t="shared" si="709"/>
        <v>х</v>
      </c>
      <c r="J454" s="5" t="str">
        <f t="shared" si="709"/>
        <v>х</v>
      </c>
      <c r="K454" s="5" t="str">
        <f t="shared" si="709"/>
        <v>х</v>
      </c>
      <c r="L454" s="5" t="str">
        <f t="shared" si="709"/>
        <v>х</v>
      </c>
      <c r="M454" s="5" t="str">
        <f t="shared" si="709"/>
        <v>х</v>
      </c>
      <c r="N454" s="5" t="str">
        <f t="shared" si="709"/>
        <v>х</v>
      </c>
      <c r="O454" s="8" t="str">
        <f>""</f>
        <v/>
      </c>
      <c r="P454" s="5" t="str">
        <f>""</f>
        <v/>
      </c>
      <c r="Q454" s="5" t="str">
        <f>""</f>
        <v/>
      </c>
      <c r="R454" s="5" t="str">
        <f>""</f>
        <v/>
      </c>
      <c r="S454" s="5" t="str">
        <f>""</f>
        <v/>
      </c>
      <c r="T454" s="5" t="str">
        <f>""</f>
        <v/>
      </c>
      <c r="U454" s="5" t="str">
        <f>""</f>
        <v/>
      </c>
      <c r="V454" s="5" t="str">
        <f>""</f>
        <v/>
      </c>
      <c r="W454" s="5" t="str">
        <f>""</f>
        <v/>
      </c>
      <c r="X454" s="5" t="str">
        <f>""</f>
        <v/>
      </c>
      <c r="Y454" s="9" t="str">
        <f>""</f>
        <v/>
      </c>
      <c r="Z454" s="5" t="str">
        <f>""</f>
        <v/>
      </c>
      <c r="AA454" s="5" t="str">
        <f>""</f>
        <v/>
      </c>
      <c r="AB454" s="5" t="str">
        <f>""</f>
        <v/>
      </c>
      <c r="AC454" s="5" t="str">
        <f>""</f>
        <v/>
      </c>
      <c r="AD454" s="5" t="str">
        <f>""</f>
        <v/>
      </c>
      <c r="AE454" s="5" t="str">
        <f>""</f>
        <v/>
      </c>
      <c r="AF454" s="5" t="str">
        <f>""</f>
        <v/>
      </c>
      <c r="AG454" s="5" t="str">
        <f>""</f>
        <v/>
      </c>
      <c r="AH454" s="5" t="str">
        <f>""</f>
        <v/>
      </c>
      <c r="AI454" s="5" t="str">
        <f>""</f>
        <v/>
      </c>
      <c r="AJ454" s="5" t="str">
        <f>""</f>
        <v/>
      </c>
      <c r="AK454" s="8" t="str">
        <f t="shared" si="713"/>
        <v>х</v>
      </c>
      <c r="AL454" s="5" t="str">
        <f t="shared" si="713"/>
        <v>х</v>
      </c>
      <c r="AM454" s="5" t="str">
        <f t="shared" si="713"/>
        <v>х</v>
      </c>
      <c r="AN454" s="5" t="str">
        <f t="shared" si="713"/>
        <v>х</v>
      </c>
      <c r="AO454" s="5" t="str">
        <f t="shared" si="713"/>
        <v>х</v>
      </c>
      <c r="AP454" s="5" t="str">
        <f t="shared" si="713"/>
        <v>х</v>
      </c>
      <c r="AQ454" s="5" t="str">
        <f t="shared" si="713"/>
        <v>х</v>
      </c>
      <c r="AR454" s="5" t="str">
        <f t="shared" si="713"/>
        <v>х</v>
      </c>
      <c r="AS454" s="5" t="str">
        <f t="shared" si="713"/>
        <v>х</v>
      </c>
      <c r="AT454" s="5" t="str">
        <f t="shared" si="713"/>
        <v>х</v>
      </c>
      <c r="AU454" s="5" t="str">
        <f t="shared" si="714"/>
        <v>х</v>
      </c>
      <c r="AV454" s="5" t="str">
        <f t="shared" si="714"/>
        <v>х</v>
      </c>
      <c r="AW454" s="5" t="str">
        <f t="shared" si="714"/>
        <v>х</v>
      </c>
      <c r="AX454" s="5" t="str">
        <f t="shared" si="714"/>
        <v>х</v>
      </c>
      <c r="AY454" s="5" t="str">
        <f t="shared" si="714"/>
        <v>х</v>
      </c>
      <c r="AZ454" s="5" t="str">
        <f t="shared" si="714"/>
        <v>х</v>
      </c>
      <c r="BA454" s="5" t="str">
        <f t="shared" si="714"/>
        <v>х</v>
      </c>
      <c r="BB454" s="5" t="str">
        <f t="shared" si="714"/>
        <v>х</v>
      </c>
      <c r="BC454" s="5" t="str">
        <f t="shared" si="714"/>
        <v>х</v>
      </c>
      <c r="BD454" s="5" t="str">
        <f t="shared" si="714"/>
        <v>х</v>
      </c>
      <c r="BE454" s="5" t="str">
        <f t="shared" si="715"/>
        <v>х</v>
      </c>
      <c r="BF454" s="5" t="str">
        <f t="shared" si="715"/>
        <v>х</v>
      </c>
      <c r="BG454" s="5" t="str">
        <f t="shared" si="715"/>
        <v>х</v>
      </c>
      <c r="BH454" s="5" t="str">
        <f t="shared" si="715"/>
        <v>х</v>
      </c>
      <c r="BI454" s="5" t="str">
        <f t="shared" si="715"/>
        <v>х</v>
      </c>
      <c r="BJ454" s="5" t="str">
        <f t="shared" si="715"/>
        <v>х</v>
      </c>
      <c r="BK454" s="5" t="str">
        <f t="shared" si="715"/>
        <v>х</v>
      </c>
      <c r="BL454" s="5" t="str">
        <f t="shared" si="715"/>
        <v>х</v>
      </c>
      <c r="BM454" s="5" t="str">
        <f t="shared" si="715"/>
        <v>х</v>
      </c>
      <c r="BN454" s="5" t="str">
        <f t="shared" si="715"/>
        <v>х</v>
      </c>
      <c r="BO454" s="5" t="str">
        <f t="shared" si="715"/>
        <v>х</v>
      </c>
      <c r="BP454" s="5" t="str">
        <f t="shared" si="715"/>
        <v>х</v>
      </c>
      <c r="BQ454" s="5" t="str">
        <f t="shared" si="715"/>
        <v>х</v>
      </c>
      <c r="BR454" s="5" t="str">
        <f>""</f>
        <v/>
      </c>
      <c r="BS454" s="5" t="str">
        <f>"65,00"</f>
        <v>65,00</v>
      </c>
      <c r="BT454" s="5" t="str">
        <f>"2016"</f>
        <v>2016</v>
      </c>
      <c r="BU454" s="5" t="str">
        <f t="shared" si="689"/>
        <v>нет</v>
      </c>
      <c r="BV454" s="5" t="str">
        <f t="shared" si="699"/>
        <v>x</v>
      </c>
      <c r="BW454" s="5" t="str">
        <f t="shared" si="699"/>
        <v>x</v>
      </c>
      <c r="BX454" s="5" t="str">
        <f t="shared" si="699"/>
        <v>x</v>
      </c>
      <c r="BY454" s="5" t="str">
        <f t="shared" si="711"/>
        <v>нет</v>
      </c>
      <c r="BZ454" s="5" t="str">
        <f t="shared" si="712"/>
        <v>x</v>
      </c>
      <c r="CA454" s="5" t="str">
        <f t="shared" si="712"/>
        <v>x</v>
      </c>
      <c r="CB454" s="5" t="str">
        <f t="shared" si="712"/>
        <v>x</v>
      </c>
      <c r="CC454" s="5" t="str">
        <f>""</f>
        <v/>
      </c>
      <c r="CD454" s="5" t="str">
        <f>"60,00"</f>
        <v>60,00</v>
      </c>
      <c r="CE454" s="5" t="str">
        <f>"2020"</f>
        <v>2020</v>
      </c>
      <c r="CF454" s="5" t="str">
        <f>""</f>
        <v/>
      </c>
      <c r="CG454" s="5" t="str">
        <f>"60,00"</f>
        <v>60,00</v>
      </c>
      <c r="CH454" s="5" t="str">
        <f>"2020"</f>
        <v>2020</v>
      </c>
      <c r="CI454" s="5" t="str">
        <f>"65,00"</f>
        <v>65,00</v>
      </c>
      <c r="CJ454" s="5" t="str">
        <f>"2023"</f>
        <v>2023</v>
      </c>
    </row>
    <row r="455" spans="1:88" ht="11.25" customHeight="1">
      <c r="A455" s="3" t="str">
        <f>"1.442"</f>
        <v>1.442</v>
      </c>
      <c r="B455" s="4" t="str">
        <f>"п. Майский, д.16"</f>
        <v>п. Майский, д.16</v>
      </c>
      <c r="C455" s="7" t="str">
        <f>"1970"</f>
        <v>1970</v>
      </c>
      <c r="D455" s="5" t="str">
        <f t="shared" si="709"/>
        <v>х</v>
      </c>
      <c r="E455" s="5" t="str">
        <f t="shared" si="709"/>
        <v>х</v>
      </c>
      <c r="F455" s="5" t="str">
        <f t="shared" si="709"/>
        <v>х</v>
      </c>
      <c r="G455" s="5" t="str">
        <f t="shared" si="709"/>
        <v>х</v>
      </c>
      <c r="H455" s="5" t="str">
        <f t="shared" si="709"/>
        <v>х</v>
      </c>
      <c r="I455" s="5" t="str">
        <f t="shared" si="709"/>
        <v>х</v>
      </c>
      <c r="J455" s="5" t="str">
        <f t="shared" si="709"/>
        <v>х</v>
      </c>
      <c r="K455" s="5" t="str">
        <f t="shared" si="709"/>
        <v>х</v>
      </c>
      <c r="L455" s="5" t="str">
        <f t="shared" si="709"/>
        <v>х</v>
      </c>
      <c r="M455" s="5" t="str">
        <f t="shared" si="709"/>
        <v>х</v>
      </c>
      <c r="N455" s="5" t="str">
        <f t="shared" si="709"/>
        <v>х</v>
      </c>
      <c r="O455" s="8" t="str">
        <f t="shared" ref="O455:X457" si="716">"х"</f>
        <v>х</v>
      </c>
      <c r="P455" s="5" t="str">
        <f t="shared" si="716"/>
        <v>х</v>
      </c>
      <c r="Q455" s="5" t="str">
        <f t="shared" si="716"/>
        <v>х</v>
      </c>
      <c r="R455" s="5" t="str">
        <f t="shared" si="716"/>
        <v>х</v>
      </c>
      <c r="S455" s="5" t="str">
        <f t="shared" si="716"/>
        <v>х</v>
      </c>
      <c r="T455" s="5" t="str">
        <f t="shared" si="716"/>
        <v>х</v>
      </c>
      <c r="U455" s="5" t="str">
        <f t="shared" si="716"/>
        <v>х</v>
      </c>
      <c r="V455" s="5" t="str">
        <f t="shared" si="716"/>
        <v>х</v>
      </c>
      <c r="W455" s="5" t="str">
        <f t="shared" si="716"/>
        <v>х</v>
      </c>
      <c r="X455" s="5" t="str">
        <f t="shared" si="716"/>
        <v>х</v>
      </c>
      <c r="Y455" s="9" t="str">
        <f t="shared" ref="Y455:AJ457" si="717">"х"</f>
        <v>х</v>
      </c>
      <c r="Z455" s="5" t="str">
        <f t="shared" si="717"/>
        <v>х</v>
      </c>
      <c r="AA455" s="5" t="str">
        <f t="shared" si="717"/>
        <v>х</v>
      </c>
      <c r="AB455" s="5" t="str">
        <f t="shared" si="717"/>
        <v>х</v>
      </c>
      <c r="AC455" s="5" t="str">
        <f t="shared" si="717"/>
        <v>х</v>
      </c>
      <c r="AD455" s="5" t="str">
        <f t="shared" si="717"/>
        <v>х</v>
      </c>
      <c r="AE455" s="5" t="str">
        <f t="shared" si="717"/>
        <v>х</v>
      </c>
      <c r="AF455" s="5" t="str">
        <f t="shared" si="717"/>
        <v>х</v>
      </c>
      <c r="AG455" s="5" t="str">
        <f t="shared" si="717"/>
        <v>х</v>
      </c>
      <c r="AH455" s="5" t="str">
        <f t="shared" si="717"/>
        <v>х</v>
      </c>
      <c r="AI455" s="5" t="str">
        <f t="shared" si="717"/>
        <v>х</v>
      </c>
      <c r="AJ455" s="5" t="str">
        <f t="shared" si="717"/>
        <v>х</v>
      </c>
      <c r="AK455" s="8" t="str">
        <f t="shared" si="713"/>
        <v>х</v>
      </c>
      <c r="AL455" s="5" t="str">
        <f t="shared" si="713"/>
        <v>х</v>
      </c>
      <c r="AM455" s="5" t="str">
        <f t="shared" si="713"/>
        <v>х</v>
      </c>
      <c r="AN455" s="5" t="str">
        <f t="shared" si="713"/>
        <v>х</v>
      </c>
      <c r="AO455" s="5" t="str">
        <f t="shared" si="713"/>
        <v>х</v>
      </c>
      <c r="AP455" s="5" t="str">
        <f t="shared" si="713"/>
        <v>х</v>
      </c>
      <c r="AQ455" s="5" t="str">
        <f t="shared" si="713"/>
        <v>х</v>
      </c>
      <c r="AR455" s="5" t="str">
        <f t="shared" si="713"/>
        <v>х</v>
      </c>
      <c r="AS455" s="5" t="str">
        <f t="shared" si="713"/>
        <v>х</v>
      </c>
      <c r="AT455" s="5" t="str">
        <f t="shared" si="713"/>
        <v>х</v>
      </c>
      <c r="AU455" s="5" t="str">
        <f t="shared" si="714"/>
        <v>х</v>
      </c>
      <c r="AV455" s="5" t="str">
        <f t="shared" si="714"/>
        <v>х</v>
      </c>
      <c r="AW455" s="5" t="str">
        <f t="shared" si="714"/>
        <v>х</v>
      </c>
      <c r="AX455" s="5" t="str">
        <f t="shared" si="714"/>
        <v>х</v>
      </c>
      <c r="AY455" s="5" t="str">
        <f t="shared" si="714"/>
        <v>х</v>
      </c>
      <c r="AZ455" s="5" t="str">
        <f t="shared" si="714"/>
        <v>х</v>
      </c>
      <c r="BA455" s="5" t="str">
        <f t="shared" si="714"/>
        <v>х</v>
      </c>
      <c r="BB455" s="5" t="str">
        <f t="shared" si="714"/>
        <v>х</v>
      </c>
      <c r="BC455" s="5" t="str">
        <f t="shared" si="714"/>
        <v>х</v>
      </c>
      <c r="BD455" s="5" t="str">
        <f t="shared" si="714"/>
        <v>х</v>
      </c>
      <c r="BE455" s="5" t="str">
        <f t="shared" si="715"/>
        <v>х</v>
      </c>
      <c r="BF455" s="5" t="str">
        <f t="shared" si="715"/>
        <v>х</v>
      </c>
      <c r="BG455" s="5" t="str">
        <f t="shared" si="715"/>
        <v>х</v>
      </c>
      <c r="BH455" s="5" t="str">
        <f t="shared" si="715"/>
        <v>х</v>
      </c>
      <c r="BI455" s="5" t="str">
        <f t="shared" si="715"/>
        <v>х</v>
      </c>
      <c r="BJ455" s="5" t="str">
        <f t="shared" si="715"/>
        <v>х</v>
      </c>
      <c r="BK455" s="5" t="str">
        <f t="shared" si="715"/>
        <v>х</v>
      </c>
      <c r="BL455" s="5" t="str">
        <f t="shared" si="715"/>
        <v>х</v>
      </c>
      <c r="BM455" s="5" t="str">
        <f t="shared" si="715"/>
        <v>х</v>
      </c>
      <c r="BN455" s="5" t="str">
        <f t="shared" si="715"/>
        <v>х</v>
      </c>
      <c r="BO455" s="5" t="str">
        <f t="shared" si="715"/>
        <v>х</v>
      </c>
      <c r="BP455" s="5" t="str">
        <f t="shared" si="715"/>
        <v>х</v>
      </c>
      <c r="BQ455" s="5" t="str">
        <f t="shared" si="715"/>
        <v>х</v>
      </c>
      <c r="BR455" s="5" t="str">
        <f>""</f>
        <v/>
      </c>
      <c r="BS455" s="5" t="str">
        <f>"55,00"</f>
        <v>55,00</v>
      </c>
      <c r="BT455" s="5" t="str">
        <f>"2019"</f>
        <v>2019</v>
      </c>
      <c r="BU455" s="5" t="str">
        <f t="shared" si="689"/>
        <v>нет</v>
      </c>
      <c r="BV455" s="5" t="str">
        <f t="shared" si="699"/>
        <v>x</v>
      </c>
      <c r="BW455" s="5" t="str">
        <f t="shared" si="699"/>
        <v>x</v>
      </c>
      <c r="BX455" s="5" t="str">
        <f t="shared" si="699"/>
        <v>x</v>
      </c>
      <c r="BY455" s="5" t="str">
        <f t="shared" si="711"/>
        <v>нет</v>
      </c>
      <c r="BZ455" s="5" t="str">
        <f t="shared" si="712"/>
        <v>x</v>
      </c>
      <c r="CA455" s="5" t="str">
        <f t="shared" si="712"/>
        <v>x</v>
      </c>
      <c r="CB455" s="5" t="str">
        <f t="shared" si="712"/>
        <v>x</v>
      </c>
      <c r="CC455" s="5" t="str">
        <f>""</f>
        <v/>
      </c>
      <c r="CD455" s="5" t="str">
        <f>"30,00"</f>
        <v>30,00</v>
      </c>
      <c r="CE455" s="5" t="str">
        <f>"2030"</f>
        <v>2030</v>
      </c>
      <c r="CF455" s="5" t="str">
        <f>""</f>
        <v/>
      </c>
      <c r="CG455" s="5" t="str">
        <f>"25,00"</f>
        <v>25,00</v>
      </c>
      <c r="CH455" s="5" t="str">
        <f>"2034"</f>
        <v>2034</v>
      </c>
      <c r="CI455" s="5" t="str">
        <f>"54,00"</f>
        <v>54,00</v>
      </c>
      <c r="CJ455" s="5" t="str">
        <f>"2042"</f>
        <v>2042</v>
      </c>
    </row>
    <row r="456" spans="1:88" ht="11.25" customHeight="1">
      <c r="A456" s="3" t="str">
        <f>"1.443"</f>
        <v>1.443</v>
      </c>
      <c r="B456" s="4" t="str">
        <f>"п. Майский, д.17"</f>
        <v>п. Майский, д.17</v>
      </c>
      <c r="C456" s="7" t="str">
        <f>"1960"</f>
        <v>1960</v>
      </c>
      <c r="D456" s="5" t="str">
        <f>""</f>
        <v/>
      </c>
      <c r="E456" s="5" t="str">
        <f>"30,00"</f>
        <v>30,00</v>
      </c>
      <c r="F456" s="5" t="str">
        <f>"2045"</f>
        <v>2045</v>
      </c>
      <c r="G456" s="5" t="str">
        <f>"нет"</f>
        <v>нет</v>
      </c>
      <c r="H456" s="5" t="str">
        <f>""</f>
        <v/>
      </c>
      <c r="I456" s="5" t="str">
        <f>""</f>
        <v/>
      </c>
      <c r="J456" s="5" t="str">
        <f>""</f>
        <v/>
      </c>
      <c r="K456" s="5" t="str">
        <f>"нет"</f>
        <v>нет</v>
      </c>
      <c r="L456" s="5" t="str">
        <f>""</f>
        <v/>
      </c>
      <c r="M456" s="5" t="str">
        <f>""</f>
        <v/>
      </c>
      <c r="N456" s="5" t="str">
        <f>""</f>
        <v/>
      </c>
      <c r="O456" s="8" t="str">
        <f t="shared" si="716"/>
        <v>х</v>
      </c>
      <c r="P456" s="5" t="str">
        <f t="shared" si="716"/>
        <v>х</v>
      </c>
      <c r="Q456" s="5" t="str">
        <f t="shared" si="716"/>
        <v>х</v>
      </c>
      <c r="R456" s="5" t="str">
        <f t="shared" si="716"/>
        <v>х</v>
      </c>
      <c r="S456" s="5" t="str">
        <f t="shared" si="716"/>
        <v>х</v>
      </c>
      <c r="T456" s="5" t="str">
        <f t="shared" si="716"/>
        <v>х</v>
      </c>
      <c r="U456" s="5" t="str">
        <f t="shared" si="716"/>
        <v>х</v>
      </c>
      <c r="V456" s="5" t="str">
        <f t="shared" si="716"/>
        <v>х</v>
      </c>
      <c r="W456" s="5" t="str">
        <f t="shared" si="716"/>
        <v>х</v>
      </c>
      <c r="X456" s="5" t="str">
        <f t="shared" si="716"/>
        <v>х</v>
      </c>
      <c r="Y456" s="9" t="str">
        <f t="shared" si="717"/>
        <v>х</v>
      </c>
      <c r="Z456" s="5" t="str">
        <f t="shared" si="717"/>
        <v>х</v>
      </c>
      <c r="AA456" s="5" t="str">
        <f t="shared" si="717"/>
        <v>х</v>
      </c>
      <c r="AB456" s="5" t="str">
        <f t="shared" si="717"/>
        <v>х</v>
      </c>
      <c r="AC456" s="5" t="str">
        <f t="shared" si="717"/>
        <v>х</v>
      </c>
      <c r="AD456" s="5" t="str">
        <f t="shared" si="717"/>
        <v>х</v>
      </c>
      <c r="AE456" s="5" t="str">
        <f t="shared" si="717"/>
        <v>х</v>
      </c>
      <c r="AF456" s="5" t="str">
        <f t="shared" si="717"/>
        <v>х</v>
      </c>
      <c r="AG456" s="5" t="str">
        <f t="shared" si="717"/>
        <v>х</v>
      </c>
      <c r="AH456" s="5" t="str">
        <f t="shared" si="717"/>
        <v>х</v>
      </c>
      <c r="AI456" s="5" t="str">
        <f t="shared" si="717"/>
        <v>х</v>
      </c>
      <c r="AJ456" s="5" t="str">
        <f t="shared" si="717"/>
        <v>х</v>
      </c>
      <c r="AK456" s="8" t="str">
        <f t="shared" si="713"/>
        <v>х</v>
      </c>
      <c r="AL456" s="5" t="str">
        <f t="shared" si="713"/>
        <v>х</v>
      </c>
      <c r="AM456" s="5" t="str">
        <f t="shared" si="713"/>
        <v>х</v>
      </c>
      <c r="AN456" s="5" t="str">
        <f t="shared" si="713"/>
        <v>х</v>
      </c>
      <c r="AO456" s="5" t="str">
        <f t="shared" si="713"/>
        <v>х</v>
      </c>
      <c r="AP456" s="5" t="str">
        <f t="shared" si="713"/>
        <v>х</v>
      </c>
      <c r="AQ456" s="5" t="str">
        <f t="shared" si="713"/>
        <v>х</v>
      </c>
      <c r="AR456" s="5" t="str">
        <f t="shared" si="713"/>
        <v>х</v>
      </c>
      <c r="AS456" s="5" t="str">
        <f t="shared" si="713"/>
        <v>х</v>
      </c>
      <c r="AT456" s="5" t="str">
        <f t="shared" si="713"/>
        <v>х</v>
      </c>
      <c r="AU456" s="5" t="str">
        <f t="shared" si="714"/>
        <v>х</v>
      </c>
      <c r="AV456" s="5" t="str">
        <f t="shared" si="714"/>
        <v>х</v>
      </c>
      <c r="AW456" s="5" t="str">
        <f t="shared" si="714"/>
        <v>х</v>
      </c>
      <c r="AX456" s="5" t="str">
        <f t="shared" si="714"/>
        <v>х</v>
      </c>
      <c r="AY456" s="5" t="str">
        <f t="shared" si="714"/>
        <v>х</v>
      </c>
      <c r="AZ456" s="5" t="str">
        <f t="shared" si="714"/>
        <v>х</v>
      </c>
      <c r="BA456" s="5" t="str">
        <f t="shared" si="714"/>
        <v>х</v>
      </c>
      <c r="BB456" s="5" t="str">
        <f t="shared" si="714"/>
        <v>х</v>
      </c>
      <c r="BC456" s="5" t="str">
        <f t="shared" si="714"/>
        <v>х</v>
      </c>
      <c r="BD456" s="5" t="str">
        <f t="shared" si="714"/>
        <v>х</v>
      </c>
      <c r="BE456" s="5" t="str">
        <f t="shared" si="715"/>
        <v>х</v>
      </c>
      <c r="BF456" s="5" t="str">
        <f t="shared" si="715"/>
        <v>х</v>
      </c>
      <c r="BG456" s="5" t="str">
        <f t="shared" si="715"/>
        <v>х</v>
      </c>
      <c r="BH456" s="5" t="str">
        <f t="shared" si="715"/>
        <v>х</v>
      </c>
      <c r="BI456" s="5" t="str">
        <f t="shared" si="715"/>
        <v>х</v>
      </c>
      <c r="BJ456" s="5" t="str">
        <f t="shared" si="715"/>
        <v>х</v>
      </c>
      <c r="BK456" s="5" t="str">
        <f t="shared" si="715"/>
        <v>х</v>
      </c>
      <c r="BL456" s="5" t="str">
        <f t="shared" si="715"/>
        <v>х</v>
      </c>
      <c r="BM456" s="5" t="str">
        <f t="shared" si="715"/>
        <v>х</v>
      </c>
      <c r="BN456" s="5" t="str">
        <f t="shared" si="715"/>
        <v>х</v>
      </c>
      <c r="BO456" s="5" t="str">
        <f t="shared" si="715"/>
        <v>х</v>
      </c>
      <c r="BP456" s="5" t="str">
        <f t="shared" si="715"/>
        <v>х</v>
      </c>
      <c r="BQ456" s="5" t="str">
        <f t="shared" si="715"/>
        <v>х</v>
      </c>
      <c r="BR456" s="5" t="str">
        <f>""</f>
        <v/>
      </c>
      <c r="BS456" s="5" t="str">
        <f>"45,00"</f>
        <v>45,00</v>
      </c>
      <c r="BT456" s="5" t="str">
        <f>"2045"</f>
        <v>2045</v>
      </c>
      <c r="BU456" s="5" t="str">
        <f t="shared" si="689"/>
        <v>нет</v>
      </c>
      <c r="BV456" s="5" t="str">
        <f t="shared" si="699"/>
        <v>x</v>
      </c>
      <c r="BW456" s="5" t="str">
        <f t="shared" si="699"/>
        <v>x</v>
      </c>
      <c r="BX456" s="5" t="str">
        <f t="shared" si="699"/>
        <v>x</v>
      </c>
      <c r="BY456" s="5" t="str">
        <f t="shared" si="711"/>
        <v>нет</v>
      </c>
      <c r="BZ456" s="5" t="str">
        <f t="shared" si="712"/>
        <v>x</v>
      </c>
      <c r="CA456" s="5" t="str">
        <f t="shared" si="712"/>
        <v>x</v>
      </c>
      <c r="CB456" s="5" t="str">
        <f t="shared" si="712"/>
        <v>x</v>
      </c>
      <c r="CC456" s="5" t="str">
        <f>""</f>
        <v/>
      </c>
      <c r="CD456" s="5" t="str">
        <f>"45,00"</f>
        <v>45,00</v>
      </c>
      <c r="CE456" s="5" t="str">
        <f>"2045"</f>
        <v>2045</v>
      </c>
      <c r="CF456" s="5" t="str">
        <f>""</f>
        <v/>
      </c>
      <c r="CG456" s="5" t="str">
        <f>"45,00"</f>
        <v>45,00</v>
      </c>
      <c r="CH456" s="5" t="str">
        <f>"2045"</f>
        <v>2045</v>
      </c>
      <c r="CI456" s="5" t="str">
        <f>"30,00"</f>
        <v>30,00</v>
      </c>
      <c r="CJ456" s="5" t="str">
        <f>"2045"</f>
        <v>2045</v>
      </c>
    </row>
    <row r="457" spans="1:88" ht="11.25" customHeight="1">
      <c r="A457" s="3" t="str">
        <f>"1.444"</f>
        <v>1.444</v>
      </c>
      <c r="B457" s="4" t="str">
        <f>"п. Майский, д.22"</f>
        <v>п. Майский, д.22</v>
      </c>
      <c r="C457" s="7" t="str">
        <f>"1980"</f>
        <v>1980</v>
      </c>
      <c r="D457" s="5" t="str">
        <f t="shared" ref="D457:N463" si="718">"х"</f>
        <v>х</v>
      </c>
      <c r="E457" s="5" t="str">
        <f t="shared" si="718"/>
        <v>х</v>
      </c>
      <c r="F457" s="5" t="str">
        <f t="shared" si="718"/>
        <v>х</v>
      </c>
      <c r="G457" s="5" t="str">
        <f t="shared" si="718"/>
        <v>х</v>
      </c>
      <c r="H457" s="5" t="str">
        <f t="shared" si="718"/>
        <v>х</v>
      </c>
      <c r="I457" s="5" t="str">
        <f t="shared" si="718"/>
        <v>х</v>
      </c>
      <c r="J457" s="5" t="str">
        <f t="shared" si="718"/>
        <v>х</v>
      </c>
      <c r="K457" s="5" t="str">
        <f t="shared" si="718"/>
        <v>х</v>
      </c>
      <c r="L457" s="5" t="str">
        <f t="shared" si="718"/>
        <v>х</v>
      </c>
      <c r="M457" s="5" t="str">
        <f t="shared" si="718"/>
        <v>х</v>
      </c>
      <c r="N457" s="5" t="str">
        <f t="shared" si="718"/>
        <v>х</v>
      </c>
      <c r="O457" s="8" t="str">
        <f t="shared" si="716"/>
        <v>х</v>
      </c>
      <c r="P457" s="5" t="str">
        <f t="shared" si="716"/>
        <v>х</v>
      </c>
      <c r="Q457" s="5" t="str">
        <f t="shared" si="716"/>
        <v>х</v>
      </c>
      <c r="R457" s="5" t="str">
        <f t="shared" si="716"/>
        <v>х</v>
      </c>
      <c r="S457" s="5" t="str">
        <f t="shared" si="716"/>
        <v>х</v>
      </c>
      <c r="T457" s="5" t="str">
        <f t="shared" si="716"/>
        <v>х</v>
      </c>
      <c r="U457" s="5" t="str">
        <f t="shared" si="716"/>
        <v>х</v>
      </c>
      <c r="V457" s="5" t="str">
        <f t="shared" si="716"/>
        <v>х</v>
      </c>
      <c r="W457" s="5" t="str">
        <f t="shared" si="716"/>
        <v>х</v>
      </c>
      <c r="X457" s="5" t="str">
        <f t="shared" si="716"/>
        <v>х</v>
      </c>
      <c r="Y457" s="9" t="str">
        <f t="shared" si="717"/>
        <v>х</v>
      </c>
      <c r="Z457" s="5" t="str">
        <f t="shared" si="717"/>
        <v>х</v>
      </c>
      <c r="AA457" s="5" t="str">
        <f t="shared" si="717"/>
        <v>х</v>
      </c>
      <c r="AB457" s="5" t="str">
        <f t="shared" si="717"/>
        <v>х</v>
      </c>
      <c r="AC457" s="5" t="str">
        <f t="shared" si="717"/>
        <v>х</v>
      </c>
      <c r="AD457" s="5" t="str">
        <f t="shared" si="717"/>
        <v>х</v>
      </c>
      <c r="AE457" s="5" t="str">
        <f t="shared" si="717"/>
        <v>х</v>
      </c>
      <c r="AF457" s="5" t="str">
        <f t="shared" si="717"/>
        <v>х</v>
      </c>
      <c r="AG457" s="5" t="str">
        <f t="shared" si="717"/>
        <v>х</v>
      </c>
      <c r="AH457" s="5" t="str">
        <f t="shared" si="717"/>
        <v>х</v>
      </c>
      <c r="AI457" s="5" t="str">
        <f t="shared" si="717"/>
        <v>х</v>
      </c>
      <c r="AJ457" s="5" t="str">
        <f t="shared" si="717"/>
        <v>х</v>
      </c>
      <c r="AK457" s="8" t="str">
        <f t="shared" si="713"/>
        <v>х</v>
      </c>
      <c r="AL457" s="5" t="str">
        <f t="shared" si="713"/>
        <v>х</v>
      </c>
      <c r="AM457" s="5" t="str">
        <f t="shared" si="713"/>
        <v>х</v>
      </c>
      <c r="AN457" s="5" t="str">
        <f t="shared" si="713"/>
        <v>х</v>
      </c>
      <c r="AO457" s="5" t="str">
        <f t="shared" si="713"/>
        <v>х</v>
      </c>
      <c r="AP457" s="5" t="str">
        <f t="shared" si="713"/>
        <v>х</v>
      </c>
      <c r="AQ457" s="5" t="str">
        <f t="shared" si="713"/>
        <v>х</v>
      </c>
      <c r="AR457" s="5" t="str">
        <f t="shared" si="713"/>
        <v>х</v>
      </c>
      <c r="AS457" s="5" t="str">
        <f t="shared" si="713"/>
        <v>х</v>
      </c>
      <c r="AT457" s="5" t="str">
        <f t="shared" si="713"/>
        <v>х</v>
      </c>
      <c r="AU457" s="5" t="str">
        <f t="shared" si="714"/>
        <v>х</v>
      </c>
      <c r="AV457" s="5" t="str">
        <f t="shared" si="714"/>
        <v>х</v>
      </c>
      <c r="AW457" s="5" t="str">
        <f t="shared" si="714"/>
        <v>х</v>
      </c>
      <c r="AX457" s="5" t="str">
        <f t="shared" si="714"/>
        <v>х</v>
      </c>
      <c r="AY457" s="5" t="str">
        <f t="shared" si="714"/>
        <v>х</v>
      </c>
      <c r="AZ457" s="5" t="str">
        <f t="shared" si="714"/>
        <v>х</v>
      </c>
      <c r="BA457" s="5" t="str">
        <f t="shared" si="714"/>
        <v>х</v>
      </c>
      <c r="BB457" s="5" t="str">
        <f t="shared" si="714"/>
        <v>х</v>
      </c>
      <c r="BC457" s="5" t="str">
        <f t="shared" si="714"/>
        <v>х</v>
      </c>
      <c r="BD457" s="5" t="str">
        <f t="shared" si="714"/>
        <v>х</v>
      </c>
      <c r="BE457" s="5" t="str">
        <f t="shared" si="715"/>
        <v>х</v>
      </c>
      <c r="BF457" s="5" t="str">
        <f t="shared" si="715"/>
        <v>х</v>
      </c>
      <c r="BG457" s="5" t="str">
        <f t="shared" si="715"/>
        <v>х</v>
      </c>
      <c r="BH457" s="5" t="str">
        <f t="shared" si="715"/>
        <v>х</v>
      </c>
      <c r="BI457" s="5" t="str">
        <f t="shared" si="715"/>
        <v>х</v>
      </c>
      <c r="BJ457" s="5" t="str">
        <f t="shared" si="715"/>
        <v>х</v>
      </c>
      <c r="BK457" s="5" t="str">
        <f t="shared" si="715"/>
        <v>х</v>
      </c>
      <c r="BL457" s="5" t="str">
        <f t="shared" si="715"/>
        <v>х</v>
      </c>
      <c r="BM457" s="5" t="str">
        <f t="shared" si="715"/>
        <v>х</v>
      </c>
      <c r="BN457" s="5" t="str">
        <f t="shared" si="715"/>
        <v>х</v>
      </c>
      <c r="BO457" s="5" t="str">
        <f t="shared" si="715"/>
        <v>х</v>
      </c>
      <c r="BP457" s="5" t="str">
        <f t="shared" si="715"/>
        <v>х</v>
      </c>
      <c r="BQ457" s="5" t="str">
        <f t="shared" si="715"/>
        <v>х</v>
      </c>
      <c r="BR457" s="5" t="str">
        <f>""</f>
        <v/>
      </c>
      <c r="BS457" s="5" t="str">
        <f>"65,00"</f>
        <v>65,00</v>
      </c>
      <c r="BT457" s="5" t="str">
        <f>"2017"</f>
        <v>2017</v>
      </c>
      <c r="BU457" s="5" t="str">
        <f t="shared" si="689"/>
        <v>нет</v>
      </c>
      <c r="BV457" s="5" t="str">
        <f t="shared" si="699"/>
        <v>x</v>
      </c>
      <c r="BW457" s="5" t="str">
        <f t="shared" si="699"/>
        <v>x</v>
      </c>
      <c r="BX457" s="5" t="str">
        <f t="shared" si="699"/>
        <v>x</v>
      </c>
      <c r="BY457" s="5" t="str">
        <f t="shared" si="711"/>
        <v>нет</v>
      </c>
      <c r="BZ457" s="5" t="str">
        <f t="shared" si="712"/>
        <v>x</v>
      </c>
      <c r="CA457" s="5" t="str">
        <f t="shared" si="712"/>
        <v>x</v>
      </c>
      <c r="CB457" s="5" t="str">
        <f t="shared" si="712"/>
        <v>x</v>
      </c>
      <c r="CC457" s="5" t="str">
        <f>""</f>
        <v/>
      </c>
      <c r="CD457" s="5" t="str">
        <f>"30,00"</f>
        <v>30,00</v>
      </c>
      <c r="CE457" s="5" t="str">
        <f>"2032"</f>
        <v>2032</v>
      </c>
      <c r="CF457" s="5" t="str">
        <f>""</f>
        <v/>
      </c>
      <c r="CG457" s="5" t="str">
        <f>"20,00"</f>
        <v>20,00</v>
      </c>
      <c r="CH457" s="5" t="str">
        <f>"2036"</f>
        <v>2036</v>
      </c>
      <c r="CI457" s="5" t="str">
        <f>"64,00"</f>
        <v>64,00</v>
      </c>
      <c r="CJ457" s="5" t="str">
        <f>"2042"</f>
        <v>2042</v>
      </c>
    </row>
    <row r="458" spans="1:88" ht="11.25" customHeight="1">
      <c r="A458" s="3" t="str">
        <f>"1.445"</f>
        <v>1.445</v>
      </c>
      <c r="B458" s="4" t="str">
        <f>"п. Плоское, переулок. Лесной, д.11"</f>
        <v>п. Плоское, переулок. Лесной, д.11</v>
      </c>
      <c r="C458" s="7" t="str">
        <f>"1974"</f>
        <v>1974</v>
      </c>
      <c r="D458" s="5" t="str">
        <f t="shared" si="718"/>
        <v>х</v>
      </c>
      <c r="E458" s="5" t="str">
        <f t="shared" si="718"/>
        <v>х</v>
      </c>
      <c r="F458" s="5" t="str">
        <f t="shared" si="718"/>
        <v>х</v>
      </c>
      <c r="G458" s="5" t="str">
        <f t="shared" si="718"/>
        <v>х</v>
      </c>
      <c r="H458" s="5" t="str">
        <f t="shared" si="718"/>
        <v>х</v>
      </c>
      <c r="I458" s="5" t="str">
        <f t="shared" si="718"/>
        <v>х</v>
      </c>
      <c r="J458" s="5" t="str">
        <f t="shared" si="718"/>
        <v>х</v>
      </c>
      <c r="K458" s="5" t="str">
        <f t="shared" si="718"/>
        <v>х</v>
      </c>
      <c r="L458" s="5" t="str">
        <f t="shared" si="718"/>
        <v>х</v>
      </c>
      <c r="M458" s="5" t="str">
        <f t="shared" si="718"/>
        <v>х</v>
      </c>
      <c r="N458" s="5" t="str">
        <f t="shared" si="718"/>
        <v>х</v>
      </c>
      <c r="O458" s="8" t="str">
        <f>""</f>
        <v/>
      </c>
      <c r="P458" s="5" t="str">
        <f>""</f>
        <v/>
      </c>
      <c r="Q458" s="5" t="str">
        <f>""</f>
        <v/>
      </c>
      <c r="R458" s="5" t="str">
        <f>""</f>
        <v/>
      </c>
      <c r="S458" s="5" t="str">
        <f>""</f>
        <v/>
      </c>
      <c r="T458" s="5" t="str">
        <f>""</f>
        <v/>
      </c>
      <c r="U458" s="5" t="str">
        <f>""</f>
        <v/>
      </c>
      <c r="V458" s="5" t="str">
        <f>""</f>
        <v/>
      </c>
      <c r="W458" s="5" t="str">
        <f>""</f>
        <v/>
      </c>
      <c r="X458" s="5" t="str">
        <f>""</f>
        <v/>
      </c>
      <c r="Y458" s="9" t="str">
        <f>""</f>
        <v/>
      </c>
      <c r="Z458" s="5" t="str">
        <f t="shared" ref="Z458:AJ460" si="719">"х"</f>
        <v>х</v>
      </c>
      <c r="AA458" s="5" t="str">
        <f t="shared" si="719"/>
        <v>х</v>
      </c>
      <c r="AB458" s="5" t="str">
        <f t="shared" si="719"/>
        <v>х</v>
      </c>
      <c r="AC458" s="5" t="str">
        <f t="shared" si="719"/>
        <v>х</v>
      </c>
      <c r="AD458" s="5" t="str">
        <f t="shared" si="719"/>
        <v>х</v>
      </c>
      <c r="AE458" s="5" t="str">
        <f t="shared" si="719"/>
        <v>х</v>
      </c>
      <c r="AF458" s="5" t="str">
        <f t="shared" si="719"/>
        <v>х</v>
      </c>
      <c r="AG458" s="5" t="str">
        <f t="shared" si="719"/>
        <v>х</v>
      </c>
      <c r="AH458" s="5" t="str">
        <f t="shared" si="719"/>
        <v>х</v>
      </c>
      <c r="AI458" s="5" t="str">
        <f t="shared" si="719"/>
        <v>х</v>
      </c>
      <c r="AJ458" s="5" t="str">
        <f t="shared" si="719"/>
        <v>х</v>
      </c>
      <c r="AK458" s="8" t="str">
        <f t="shared" si="713"/>
        <v>х</v>
      </c>
      <c r="AL458" s="5" t="str">
        <f t="shared" si="713"/>
        <v>х</v>
      </c>
      <c r="AM458" s="5" t="str">
        <f t="shared" si="713"/>
        <v>х</v>
      </c>
      <c r="AN458" s="5" t="str">
        <f t="shared" si="713"/>
        <v>х</v>
      </c>
      <c r="AO458" s="5" t="str">
        <f t="shared" si="713"/>
        <v>х</v>
      </c>
      <c r="AP458" s="5" t="str">
        <f t="shared" si="713"/>
        <v>х</v>
      </c>
      <c r="AQ458" s="5" t="str">
        <f t="shared" si="713"/>
        <v>х</v>
      </c>
      <c r="AR458" s="5" t="str">
        <f t="shared" si="713"/>
        <v>х</v>
      </c>
      <c r="AS458" s="5" t="str">
        <f t="shared" si="713"/>
        <v>х</v>
      </c>
      <c r="AT458" s="5" t="str">
        <f t="shared" si="713"/>
        <v>х</v>
      </c>
      <c r="AU458" s="5" t="str">
        <f t="shared" si="714"/>
        <v>х</v>
      </c>
      <c r="AV458" s="5" t="str">
        <f t="shared" si="714"/>
        <v>х</v>
      </c>
      <c r="AW458" s="5" t="str">
        <f t="shared" si="714"/>
        <v>х</v>
      </c>
      <c r="AX458" s="5" t="str">
        <f t="shared" si="714"/>
        <v>х</v>
      </c>
      <c r="AY458" s="5" t="str">
        <f t="shared" si="714"/>
        <v>х</v>
      </c>
      <c r="AZ458" s="5" t="str">
        <f t="shared" si="714"/>
        <v>х</v>
      </c>
      <c r="BA458" s="5" t="str">
        <f t="shared" si="714"/>
        <v>х</v>
      </c>
      <c r="BB458" s="5" t="str">
        <f t="shared" si="714"/>
        <v>х</v>
      </c>
      <c r="BC458" s="5" t="str">
        <f t="shared" si="714"/>
        <v>х</v>
      </c>
      <c r="BD458" s="5" t="str">
        <f t="shared" si="714"/>
        <v>х</v>
      </c>
      <c r="BE458" s="5" t="str">
        <f t="shared" si="715"/>
        <v>х</v>
      </c>
      <c r="BF458" s="5" t="str">
        <f t="shared" si="715"/>
        <v>х</v>
      </c>
      <c r="BG458" s="5" t="str">
        <f t="shared" si="715"/>
        <v>х</v>
      </c>
      <c r="BH458" s="5" t="str">
        <f t="shared" si="715"/>
        <v>х</v>
      </c>
      <c r="BI458" s="5" t="str">
        <f t="shared" si="715"/>
        <v>х</v>
      </c>
      <c r="BJ458" s="5" t="str">
        <f t="shared" si="715"/>
        <v>х</v>
      </c>
      <c r="BK458" s="5" t="str">
        <f t="shared" si="715"/>
        <v>х</v>
      </c>
      <c r="BL458" s="5" t="str">
        <f t="shared" si="715"/>
        <v>х</v>
      </c>
      <c r="BM458" s="5" t="str">
        <f t="shared" si="715"/>
        <v>х</v>
      </c>
      <c r="BN458" s="5" t="str">
        <f t="shared" si="715"/>
        <v>х</v>
      </c>
      <c r="BO458" s="5" t="str">
        <f t="shared" si="715"/>
        <v>х</v>
      </c>
      <c r="BP458" s="5" t="str">
        <f t="shared" si="715"/>
        <v>х</v>
      </c>
      <c r="BQ458" s="5" t="str">
        <f t="shared" si="715"/>
        <v>х</v>
      </c>
      <c r="BR458" s="5" t="str">
        <f>""</f>
        <v/>
      </c>
      <c r="BS458" s="5" t="str">
        <f>"65,00"</f>
        <v>65,00</v>
      </c>
      <c r="BT458" s="5" t="str">
        <f>"2018"</f>
        <v>2018</v>
      </c>
      <c r="BU458" s="5" t="str">
        <f t="shared" si="689"/>
        <v>нет</v>
      </c>
      <c r="BV458" s="5" t="str">
        <f t="shared" si="699"/>
        <v>x</v>
      </c>
      <c r="BW458" s="5" t="str">
        <f t="shared" si="699"/>
        <v>x</v>
      </c>
      <c r="BX458" s="5" t="str">
        <f t="shared" si="699"/>
        <v>x</v>
      </c>
      <c r="BY458" s="5" t="str">
        <f t="shared" si="711"/>
        <v>нет</v>
      </c>
      <c r="BZ458" s="5" t="str">
        <f t="shared" si="712"/>
        <v>x</v>
      </c>
      <c r="CA458" s="5" t="str">
        <f t="shared" si="712"/>
        <v>x</v>
      </c>
      <c r="CB458" s="5" t="str">
        <f t="shared" si="712"/>
        <v>x</v>
      </c>
      <c r="CC458" s="5" t="str">
        <f>""</f>
        <v/>
      </c>
      <c r="CD458" s="5" t="str">
        <f>"65,00"</f>
        <v>65,00</v>
      </c>
      <c r="CE458" s="5" t="str">
        <f>"2017"</f>
        <v>2017</v>
      </c>
      <c r="CF458" s="5" t="str">
        <f>""</f>
        <v/>
      </c>
      <c r="CG458" s="5" t="str">
        <f>"65,00"</f>
        <v>65,00</v>
      </c>
      <c r="CH458" s="5" t="str">
        <f>"2017"</f>
        <v>2017</v>
      </c>
      <c r="CI458" s="5" t="str">
        <f>"65,00"</f>
        <v>65,00</v>
      </c>
      <c r="CJ458" s="5" t="str">
        <f>"2021"</f>
        <v>2021</v>
      </c>
    </row>
    <row r="459" spans="1:88" ht="11.25" customHeight="1">
      <c r="A459" s="3" t="str">
        <f>"1.446"</f>
        <v>1.446</v>
      </c>
      <c r="B459" s="4" t="str">
        <f>"п. Плоское, переулок. Лесной, д.9"</f>
        <v>п. Плоское, переулок. Лесной, д.9</v>
      </c>
      <c r="C459" s="7" t="str">
        <f>"1970"</f>
        <v>1970</v>
      </c>
      <c r="D459" s="5" t="str">
        <f t="shared" si="718"/>
        <v>х</v>
      </c>
      <c r="E459" s="5" t="str">
        <f t="shared" si="718"/>
        <v>х</v>
      </c>
      <c r="F459" s="5" t="str">
        <f t="shared" si="718"/>
        <v>х</v>
      </c>
      <c r="G459" s="5" t="str">
        <f t="shared" si="718"/>
        <v>х</v>
      </c>
      <c r="H459" s="5" t="str">
        <f t="shared" si="718"/>
        <v>х</v>
      </c>
      <c r="I459" s="5" t="str">
        <f t="shared" si="718"/>
        <v>х</v>
      </c>
      <c r="J459" s="5" t="str">
        <f t="shared" si="718"/>
        <v>х</v>
      </c>
      <c r="K459" s="5" t="str">
        <f t="shared" si="718"/>
        <v>х</v>
      </c>
      <c r="L459" s="5" t="str">
        <f t="shared" si="718"/>
        <v>х</v>
      </c>
      <c r="M459" s="5" t="str">
        <f t="shared" si="718"/>
        <v>х</v>
      </c>
      <c r="N459" s="5" t="str">
        <f t="shared" si="718"/>
        <v>х</v>
      </c>
      <c r="O459" s="8" t="str">
        <f>""</f>
        <v/>
      </c>
      <c r="P459" s="5" t="str">
        <f>""</f>
        <v/>
      </c>
      <c r="Q459" s="5" t="str">
        <f>""</f>
        <v/>
      </c>
      <c r="R459" s="5" t="str">
        <f>""</f>
        <v/>
      </c>
      <c r="S459" s="5" t="str">
        <f>""</f>
        <v/>
      </c>
      <c r="T459" s="5" t="str">
        <f>""</f>
        <v/>
      </c>
      <c r="U459" s="5" t="str">
        <f>""</f>
        <v/>
      </c>
      <c r="V459" s="5" t="str">
        <f>""</f>
        <v/>
      </c>
      <c r="W459" s="5" t="str">
        <f>""</f>
        <v/>
      </c>
      <c r="X459" s="5" t="str">
        <f>""</f>
        <v/>
      </c>
      <c r="Y459" s="9" t="str">
        <f>""</f>
        <v/>
      </c>
      <c r="Z459" s="5" t="str">
        <f t="shared" si="719"/>
        <v>х</v>
      </c>
      <c r="AA459" s="5" t="str">
        <f t="shared" si="719"/>
        <v>х</v>
      </c>
      <c r="AB459" s="5" t="str">
        <f t="shared" si="719"/>
        <v>х</v>
      </c>
      <c r="AC459" s="5" t="str">
        <f t="shared" si="719"/>
        <v>х</v>
      </c>
      <c r="AD459" s="5" t="str">
        <f t="shared" si="719"/>
        <v>х</v>
      </c>
      <c r="AE459" s="5" t="str">
        <f t="shared" si="719"/>
        <v>х</v>
      </c>
      <c r="AF459" s="5" t="str">
        <f t="shared" si="719"/>
        <v>х</v>
      </c>
      <c r="AG459" s="5" t="str">
        <f t="shared" si="719"/>
        <v>х</v>
      </c>
      <c r="AH459" s="5" t="str">
        <f t="shared" si="719"/>
        <v>х</v>
      </c>
      <c r="AI459" s="5" t="str">
        <f t="shared" si="719"/>
        <v>х</v>
      </c>
      <c r="AJ459" s="5" t="str">
        <f t="shared" si="719"/>
        <v>х</v>
      </c>
      <c r="AK459" s="8" t="str">
        <f t="shared" si="713"/>
        <v>х</v>
      </c>
      <c r="AL459" s="5" t="str">
        <f t="shared" si="713"/>
        <v>х</v>
      </c>
      <c r="AM459" s="5" t="str">
        <f t="shared" si="713"/>
        <v>х</v>
      </c>
      <c r="AN459" s="5" t="str">
        <f t="shared" si="713"/>
        <v>х</v>
      </c>
      <c r="AO459" s="5" t="str">
        <f t="shared" si="713"/>
        <v>х</v>
      </c>
      <c r="AP459" s="5" t="str">
        <f t="shared" si="713"/>
        <v>х</v>
      </c>
      <c r="AQ459" s="5" t="str">
        <f t="shared" si="713"/>
        <v>х</v>
      </c>
      <c r="AR459" s="5" t="str">
        <f t="shared" si="713"/>
        <v>х</v>
      </c>
      <c r="AS459" s="5" t="str">
        <f t="shared" si="713"/>
        <v>х</v>
      </c>
      <c r="AT459" s="5" t="str">
        <f t="shared" si="713"/>
        <v>х</v>
      </c>
      <c r="AU459" s="5" t="str">
        <f t="shared" si="714"/>
        <v>х</v>
      </c>
      <c r="AV459" s="5" t="str">
        <f t="shared" si="714"/>
        <v>х</v>
      </c>
      <c r="AW459" s="5" t="str">
        <f t="shared" si="714"/>
        <v>х</v>
      </c>
      <c r="AX459" s="5" t="str">
        <f t="shared" si="714"/>
        <v>х</v>
      </c>
      <c r="AY459" s="5" t="str">
        <f t="shared" si="714"/>
        <v>х</v>
      </c>
      <c r="AZ459" s="5" t="str">
        <f t="shared" si="714"/>
        <v>х</v>
      </c>
      <c r="BA459" s="5" t="str">
        <f t="shared" si="714"/>
        <v>х</v>
      </c>
      <c r="BB459" s="5" t="str">
        <f t="shared" si="714"/>
        <v>х</v>
      </c>
      <c r="BC459" s="5" t="str">
        <f t="shared" si="714"/>
        <v>х</v>
      </c>
      <c r="BD459" s="5" t="str">
        <f t="shared" si="714"/>
        <v>х</v>
      </c>
      <c r="BE459" s="5" t="str">
        <f t="shared" si="715"/>
        <v>х</v>
      </c>
      <c r="BF459" s="5" t="str">
        <f t="shared" si="715"/>
        <v>х</v>
      </c>
      <c r="BG459" s="5" t="str">
        <f t="shared" si="715"/>
        <v>х</v>
      </c>
      <c r="BH459" s="5" t="str">
        <f t="shared" si="715"/>
        <v>х</v>
      </c>
      <c r="BI459" s="5" t="str">
        <f t="shared" si="715"/>
        <v>х</v>
      </c>
      <c r="BJ459" s="5" t="str">
        <f t="shared" si="715"/>
        <v>х</v>
      </c>
      <c r="BK459" s="5" t="str">
        <f t="shared" si="715"/>
        <v>х</v>
      </c>
      <c r="BL459" s="5" t="str">
        <f t="shared" si="715"/>
        <v>х</v>
      </c>
      <c r="BM459" s="5" t="str">
        <f t="shared" si="715"/>
        <v>х</v>
      </c>
      <c r="BN459" s="5" t="str">
        <f t="shared" si="715"/>
        <v>х</v>
      </c>
      <c r="BO459" s="5" t="str">
        <f t="shared" si="715"/>
        <v>х</v>
      </c>
      <c r="BP459" s="5" t="str">
        <f t="shared" si="715"/>
        <v>х</v>
      </c>
      <c r="BQ459" s="5" t="str">
        <f t="shared" si="715"/>
        <v>х</v>
      </c>
      <c r="BR459" s="5" t="str">
        <f>""</f>
        <v/>
      </c>
      <c r="BS459" s="5" t="str">
        <f>"65,00"</f>
        <v>65,00</v>
      </c>
      <c r="BT459" s="5" t="str">
        <f>"2018"</f>
        <v>2018</v>
      </c>
      <c r="BU459" s="5" t="str">
        <f t="shared" si="689"/>
        <v>нет</v>
      </c>
      <c r="BV459" s="5" t="str">
        <f t="shared" si="699"/>
        <v>x</v>
      </c>
      <c r="BW459" s="5" t="str">
        <f t="shared" si="699"/>
        <v>x</v>
      </c>
      <c r="BX459" s="5" t="str">
        <f t="shared" si="699"/>
        <v>x</v>
      </c>
      <c r="BY459" s="5" t="str">
        <f t="shared" si="711"/>
        <v>нет</v>
      </c>
      <c r="BZ459" s="5" t="str">
        <f t="shared" si="712"/>
        <v>x</v>
      </c>
      <c r="CA459" s="5" t="str">
        <f t="shared" si="712"/>
        <v>x</v>
      </c>
      <c r="CB459" s="5" t="str">
        <f t="shared" si="712"/>
        <v>x</v>
      </c>
      <c r="CC459" s="5" t="str">
        <f>""</f>
        <v/>
      </c>
      <c r="CD459" s="5" t="str">
        <f>"65,00"</f>
        <v>65,00</v>
      </c>
      <c r="CE459" s="5" t="str">
        <f>"2017"</f>
        <v>2017</v>
      </c>
      <c r="CF459" s="5" t="str">
        <f>""</f>
        <v/>
      </c>
      <c r="CG459" s="5" t="str">
        <f>"65,00"</f>
        <v>65,00</v>
      </c>
      <c r="CH459" s="5" t="str">
        <f>"2017"</f>
        <v>2017</v>
      </c>
      <c r="CI459" s="5" t="str">
        <f>"65,00"</f>
        <v>65,00</v>
      </c>
      <c r="CJ459" s="5" t="str">
        <f>"2018"</f>
        <v>2018</v>
      </c>
    </row>
    <row r="460" spans="1:88" ht="11.25" customHeight="1">
      <c r="A460" s="3" t="str">
        <f>"1.447"</f>
        <v>1.447</v>
      </c>
      <c r="B460" s="4" t="str">
        <f>"п. Плоское, переулок. Набережный, д.5"</f>
        <v>п. Плоское, переулок. Набережный, д.5</v>
      </c>
      <c r="C460" s="7" t="str">
        <f>"1957"</f>
        <v>1957</v>
      </c>
      <c r="D460" s="5" t="str">
        <f t="shared" si="718"/>
        <v>х</v>
      </c>
      <c r="E460" s="5" t="str">
        <f t="shared" si="718"/>
        <v>х</v>
      </c>
      <c r="F460" s="5" t="str">
        <f t="shared" si="718"/>
        <v>х</v>
      </c>
      <c r="G460" s="5" t="str">
        <f t="shared" si="718"/>
        <v>х</v>
      </c>
      <c r="H460" s="5" t="str">
        <f t="shared" si="718"/>
        <v>х</v>
      </c>
      <c r="I460" s="5" t="str">
        <f t="shared" si="718"/>
        <v>х</v>
      </c>
      <c r="J460" s="5" t="str">
        <f t="shared" si="718"/>
        <v>х</v>
      </c>
      <c r="K460" s="5" t="str">
        <f t="shared" si="718"/>
        <v>х</v>
      </c>
      <c r="L460" s="5" t="str">
        <f t="shared" si="718"/>
        <v>х</v>
      </c>
      <c r="M460" s="5" t="str">
        <f t="shared" si="718"/>
        <v>х</v>
      </c>
      <c r="N460" s="5" t="str">
        <f t="shared" si="718"/>
        <v>х</v>
      </c>
      <c r="O460" s="8" t="str">
        <f>""</f>
        <v/>
      </c>
      <c r="P460" s="5" t="str">
        <f>""</f>
        <v/>
      </c>
      <c r="Q460" s="5" t="str">
        <f>""</f>
        <v/>
      </c>
      <c r="R460" s="5" t="str">
        <f>""</f>
        <v/>
      </c>
      <c r="S460" s="5" t="str">
        <f>""</f>
        <v/>
      </c>
      <c r="T460" s="5" t="str">
        <f>""</f>
        <v/>
      </c>
      <c r="U460" s="5" t="str">
        <f>""</f>
        <v/>
      </c>
      <c r="V460" s="5" t="str">
        <f>""</f>
        <v/>
      </c>
      <c r="W460" s="5" t="str">
        <f>""</f>
        <v/>
      </c>
      <c r="X460" s="5" t="str">
        <f>""</f>
        <v/>
      </c>
      <c r="Y460" s="9" t="str">
        <f>""</f>
        <v/>
      </c>
      <c r="Z460" s="5" t="str">
        <f t="shared" si="719"/>
        <v>х</v>
      </c>
      <c r="AA460" s="5" t="str">
        <f t="shared" si="719"/>
        <v>х</v>
      </c>
      <c r="AB460" s="5" t="str">
        <f t="shared" si="719"/>
        <v>х</v>
      </c>
      <c r="AC460" s="5" t="str">
        <f t="shared" si="719"/>
        <v>х</v>
      </c>
      <c r="AD460" s="5" t="str">
        <f t="shared" si="719"/>
        <v>х</v>
      </c>
      <c r="AE460" s="5" t="str">
        <f t="shared" si="719"/>
        <v>х</v>
      </c>
      <c r="AF460" s="5" t="str">
        <f t="shared" si="719"/>
        <v>х</v>
      </c>
      <c r="AG460" s="5" t="str">
        <f t="shared" si="719"/>
        <v>х</v>
      </c>
      <c r="AH460" s="5" t="str">
        <f t="shared" si="719"/>
        <v>х</v>
      </c>
      <c r="AI460" s="5" t="str">
        <f t="shared" si="719"/>
        <v>х</v>
      </c>
      <c r="AJ460" s="5" t="str">
        <f t="shared" si="719"/>
        <v>х</v>
      </c>
      <c r="AK460" s="8" t="str">
        <f t="shared" si="713"/>
        <v>х</v>
      </c>
      <c r="AL460" s="5" t="str">
        <f t="shared" si="713"/>
        <v>х</v>
      </c>
      <c r="AM460" s="5" t="str">
        <f t="shared" si="713"/>
        <v>х</v>
      </c>
      <c r="AN460" s="5" t="str">
        <f t="shared" si="713"/>
        <v>х</v>
      </c>
      <c r="AO460" s="5" t="str">
        <f t="shared" si="713"/>
        <v>х</v>
      </c>
      <c r="AP460" s="5" t="str">
        <f t="shared" si="713"/>
        <v>х</v>
      </c>
      <c r="AQ460" s="5" t="str">
        <f t="shared" si="713"/>
        <v>х</v>
      </c>
      <c r="AR460" s="5" t="str">
        <f t="shared" si="713"/>
        <v>х</v>
      </c>
      <c r="AS460" s="5" t="str">
        <f t="shared" si="713"/>
        <v>х</v>
      </c>
      <c r="AT460" s="5" t="str">
        <f t="shared" si="713"/>
        <v>х</v>
      </c>
      <c r="AU460" s="5" t="str">
        <f t="shared" si="714"/>
        <v>х</v>
      </c>
      <c r="AV460" s="5" t="str">
        <f t="shared" si="714"/>
        <v>х</v>
      </c>
      <c r="AW460" s="5" t="str">
        <f t="shared" si="714"/>
        <v>х</v>
      </c>
      <c r="AX460" s="5" t="str">
        <f t="shared" si="714"/>
        <v>х</v>
      </c>
      <c r="AY460" s="5" t="str">
        <f t="shared" si="714"/>
        <v>х</v>
      </c>
      <c r="AZ460" s="5" t="str">
        <f t="shared" si="714"/>
        <v>х</v>
      </c>
      <c r="BA460" s="5" t="str">
        <f t="shared" si="714"/>
        <v>х</v>
      </c>
      <c r="BB460" s="5" t="str">
        <f t="shared" si="714"/>
        <v>х</v>
      </c>
      <c r="BC460" s="5" t="str">
        <f t="shared" si="714"/>
        <v>х</v>
      </c>
      <c r="BD460" s="5" t="str">
        <f t="shared" si="714"/>
        <v>х</v>
      </c>
      <c r="BE460" s="5" t="str">
        <f t="shared" si="715"/>
        <v>х</v>
      </c>
      <c r="BF460" s="5" t="str">
        <f t="shared" si="715"/>
        <v>х</v>
      </c>
      <c r="BG460" s="5" t="str">
        <f t="shared" si="715"/>
        <v>х</v>
      </c>
      <c r="BH460" s="5" t="str">
        <f t="shared" si="715"/>
        <v>х</v>
      </c>
      <c r="BI460" s="5" t="str">
        <f t="shared" si="715"/>
        <v>х</v>
      </c>
      <c r="BJ460" s="5" t="str">
        <f t="shared" si="715"/>
        <v>х</v>
      </c>
      <c r="BK460" s="5" t="str">
        <f t="shared" si="715"/>
        <v>х</v>
      </c>
      <c r="BL460" s="5" t="str">
        <f t="shared" si="715"/>
        <v>х</v>
      </c>
      <c r="BM460" s="5" t="str">
        <f t="shared" si="715"/>
        <v>х</v>
      </c>
      <c r="BN460" s="5" t="str">
        <f t="shared" si="715"/>
        <v>х</v>
      </c>
      <c r="BO460" s="5" t="str">
        <f t="shared" si="715"/>
        <v>х</v>
      </c>
      <c r="BP460" s="5" t="str">
        <f t="shared" si="715"/>
        <v>х</v>
      </c>
      <c r="BQ460" s="5" t="str">
        <f t="shared" si="715"/>
        <v>х</v>
      </c>
      <c r="BR460" s="5" t="str">
        <f>""</f>
        <v/>
      </c>
      <c r="BS460" s="5" t="str">
        <f>"65,00"</f>
        <v>65,00</v>
      </c>
      <c r="BT460" s="5" t="str">
        <f>"2018"</f>
        <v>2018</v>
      </c>
      <c r="BU460" s="5" t="str">
        <f t="shared" si="689"/>
        <v>нет</v>
      </c>
      <c r="BV460" s="5" t="str">
        <f t="shared" ref="BV460:BX479" si="720">"x"</f>
        <v>x</v>
      </c>
      <c r="BW460" s="5" t="str">
        <f t="shared" si="720"/>
        <v>x</v>
      </c>
      <c r="BX460" s="5" t="str">
        <f t="shared" si="720"/>
        <v>x</v>
      </c>
      <c r="BY460" s="5" t="str">
        <f t="shared" si="711"/>
        <v>нет</v>
      </c>
      <c r="BZ460" s="5" t="str">
        <f t="shared" si="712"/>
        <v>x</v>
      </c>
      <c r="CA460" s="5" t="str">
        <f t="shared" si="712"/>
        <v>x</v>
      </c>
      <c r="CB460" s="5" t="str">
        <f t="shared" si="712"/>
        <v>x</v>
      </c>
      <c r="CC460" s="5" t="str">
        <f>""</f>
        <v/>
      </c>
      <c r="CD460" s="5" t="str">
        <f>"65,00"</f>
        <v>65,00</v>
      </c>
      <c r="CE460" s="5" t="str">
        <f>"2018"</f>
        <v>2018</v>
      </c>
      <c r="CF460" s="5" t="str">
        <f>""</f>
        <v/>
      </c>
      <c r="CG460" s="5" t="str">
        <f>"65,00"</f>
        <v>65,00</v>
      </c>
      <c r="CH460" s="5" t="str">
        <f>"2018"</f>
        <v>2018</v>
      </c>
      <c r="CI460" s="5" t="str">
        <f>"65,00"</f>
        <v>65,00</v>
      </c>
      <c r="CJ460" s="5" t="str">
        <f>"2018"</f>
        <v>2018</v>
      </c>
    </row>
    <row r="461" spans="1:88" ht="11.25" customHeight="1">
      <c r="A461" s="3" t="str">
        <f>"1.448"</f>
        <v>1.448</v>
      </c>
      <c r="B461" s="4" t="str">
        <f>"п. Плоское, улица. Центральная, д.39"</f>
        <v>п. Плоское, улица. Центральная, д.39</v>
      </c>
      <c r="C461" s="7" t="str">
        <f>"1966"</f>
        <v>1966</v>
      </c>
      <c r="D461" s="5" t="str">
        <f t="shared" si="718"/>
        <v>х</v>
      </c>
      <c r="E461" s="5" t="str">
        <f t="shared" si="718"/>
        <v>х</v>
      </c>
      <c r="F461" s="5" t="str">
        <f t="shared" si="718"/>
        <v>х</v>
      </c>
      <c r="G461" s="5" t="str">
        <f t="shared" si="718"/>
        <v>х</v>
      </c>
      <c r="H461" s="5" t="str">
        <f t="shared" si="718"/>
        <v>х</v>
      </c>
      <c r="I461" s="5" t="str">
        <f t="shared" si="718"/>
        <v>х</v>
      </c>
      <c r="J461" s="5" t="str">
        <f t="shared" si="718"/>
        <v>х</v>
      </c>
      <c r="K461" s="5" t="str">
        <f t="shared" si="718"/>
        <v>х</v>
      </c>
      <c r="L461" s="5" t="str">
        <f t="shared" si="718"/>
        <v>х</v>
      </c>
      <c r="M461" s="5" t="str">
        <f t="shared" si="718"/>
        <v>х</v>
      </c>
      <c r="N461" s="5" t="str">
        <f t="shared" si="718"/>
        <v>х</v>
      </c>
      <c r="O461" s="8" t="str">
        <f>""</f>
        <v/>
      </c>
      <c r="P461" s="5" t="str">
        <f>""</f>
        <v/>
      </c>
      <c r="Q461" s="5" t="str">
        <f>""</f>
        <v/>
      </c>
      <c r="R461" s="5" t="str">
        <f>""</f>
        <v/>
      </c>
      <c r="S461" s="5" t="str">
        <f>""</f>
        <v/>
      </c>
      <c r="T461" s="5" t="str">
        <f>""</f>
        <v/>
      </c>
      <c r="U461" s="5" t="str">
        <f>""</f>
        <v/>
      </c>
      <c r="V461" s="5" t="str">
        <f>""</f>
        <v/>
      </c>
      <c r="W461" s="5" t="str">
        <f>""</f>
        <v/>
      </c>
      <c r="X461" s="5" t="str">
        <f>""</f>
        <v/>
      </c>
      <c r="Y461" s="9" t="str">
        <f>""</f>
        <v/>
      </c>
      <c r="Z461" s="5" t="str">
        <f>"2005"</f>
        <v>2005</v>
      </c>
      <c r="AA461" s="5" t="str">
        <f>""</f>
        <v/>
      </c>
      <c r="AB461" s="5" t="str">
        <f>""</f>
        <v/>
      </c>
      <c r="AC461" s="5" t="str">
        <f>""</f>
        <v/>
      </c>
      <c r="AD461" s="5" t="str">
        <f>""</f>
        <v/>
      </c>
      <c r="AE461" s="5" t="str">
        <f>""</f>
        <v/>
      </c>
      <c r="AF461" s="5" t="str">
        <f>""</f>
        <v/>
      </c>
      <c r="AG461" s="5" t="str">
        <f>""</f>
        <v/>
      </c>
      <c r="AH461" s="5" t="str">
        <f>""</f>
        <v/>
      </c>
      <c r="AI461" s="5" t="str">
        <f>""</f>
        <v/>
      </c>
      <c r="AJ461" s="5" t="str">
        <f>""</f>
        <v/>
      </c>
      <c r="AK461" s="8" t="str">
        <f t="shared" si="713"/>
        <v>х</v>
      </c>
      <c r="AL461" s="5" t="str">
        <f t="shared" si="713"/>
        <v>х</v>
      </c>
      <c r="AM461" s="5" t="str">
        <f t="shared" si="713"/>
        <v>х</v>
      </c>
      <c r="AN461" s="5" t="str">
        <f t="shared" si="713"/>
        <v>х</v>
      </c>
      <c r="AO461" s="5" t="str">
        <f t="shared" si="713"/>
        <v>х</v>
      </c>
      <c r="AP461" s="5" t="str">
        <f t="shared" si="713"/>
        <v>х</v>
      </c>
      <c r="AQ461" s="5" t="str">
        <f t="shared" si="713"/>
        <v>х</v>
      </c>
      <c r="AR461" s="5" t="str">
        <f t="shared" si="713"/>
        <v>х</v>
      </c>
      <c r="AS461" s="5" t="str">
        <f t="shared" si="713"/>
        <v>х</v>
      </c>
      <c r="AT461" s="5" t="str">
        <f t="shared" si="713"/>
        <v>х</v>
      </c>
      <c r="AU461" s="5" t="str">
        <f t="shared" si="714"/>
        <v>х</v>
      </c>
      <c r="AV461" s="5" t="str">
        <f t="shared" si="714"/>
        <v>х</v>
      </c>
      <c r="AW461" s="5" t="str">
        <f t="shared" si="714"/>
        <v>х</v>
      </c>
      <c r="AX461" s="5" t="str">
        <f t="shared" si="714"/>
        <v>х</v>
      </c>
      <c r="AY461" s="5" t="str">
        <f t="shared" si="714"/>
        <v>х</v>
      </c>
      <c r="AZ461" s="5" t="str">
        <f t="shared" si="714"/>
        <v>х</v>
      </c>
      <c r="BA461" s="5" t="str">
        <f t="shared" si="714"/>
        <v>х</v>
      </c>
      <c r="BB461" s="5" t="str">
        <f t="shared" si="714"/>
        <v>х</v>
      </c>
      <c r="BC461" s="5" t="str">
        <f t="shared" si="714"/>
        <v>х</v>
      </c>
      <c r="BD461" s="5" t="str">
        <f t="shared" si="714"/>
        <v>х</v>
      </c>
      <c r="BE461" s="5" t="str">
        <f t="shared" si="715"/>
        <v>х</v>
      </c>
      <c r="BF461" s="5" t="str">
        <f t="shared" si="715"/>
        <v>х</v>
      </c>
      <c r="BG461" s="5" t="str">
        <f t="shared" si="715"/>
        <v>х</v>
      </c>
      <c r="BH461" s="5" t="str">
        <f t="shared" si="715"/>
        <v>х</v>
      </c>
      <c r="BI461" s="5" t="str">
        <f t="shared" si="715"/>
        <v>х</v>
      </c>
      <c r="BJ461" s="5" t="str">
        <f t="shared" si="715"/>
        <v>х</v>
      </c>
      <c r="BK461" s="5" t="str">
        <f t="shared" si="715"/>
        <v>х</v>
      </c>
      <c r="BL461" s="5" t="str">
        <f t="shared" si="715"/>
        <v>х</v>
      </c>
      <c r="BM461" s="5" t="str">
        <f t="shared" si="715"/>
        <v>х</v>
      </c>
      <c r="BN461" s="5" t="str">
        <f t="shared" si="715"/>
        <v>х</v>
      </c>
      <c r="BO461" s="5" t="str">
        <f t="shared" si="715"/>
        <v>х</v>
      </c>
      <c r="BP461" s="5" t="str">
        <f t="shared" si="715"/>
        <v>х</v>
      </c>
      <c r="BQ461" s="5" t="str">
        <f t="shared" si="715"/>
        <v>х</v>
      </c>
      <c r="BR461" s="5" t="str">
        <f>"2007"</f>
        <v>2007</v>
      </c>
      <c r="BS461" s="5" t="str">
        <f>"20,00"</f>
        <v>20,00</v>
      </c>
      <c r="BT461" s="5" t="str">
        <f>"2030"</f>
        <v>2030</v>
      </c>
      <c r="BU461" s="5" t="str">
        <f t="shared" si="689"/>
        <v>нет</v>
      </c>
      <c r="BV461" s="5" t="str">
        <f t="shared" si="720"/>
        <v>x</v>
      </c>
      <c r="BW461" s="5" t="str">
        <f t="shared" si="720"/>
        <v>x</v>
      </c>
      <c r="BX461" s="5" t="str">
        <f t="shared" si="720"/>
        <v>x</v>
      </c>
      <c r="BY461" s="5" t="str">
        <f t="shared" si="711"/>
        <v>нет</v>
      </c>
      <c r="BZ461" s="5" t="str">
        <f t="shared" si="712"/>
        <v>x</v>
      </c>
      <c r="CA461" s="5" t="str">
        <f t="shared" si="712"/>
        <v>x</v>
      </c>
      <c r="CB461" s="5" t="str">
        <f t="shared" si="712"/>
        <v>x</v>
      </c>
      <c r="CC461" s="5" t="str">
        <f>""</f>
        <v/>
      </c>
      <c r="CD461" s="5" t="str">
        <f>"40,00"</f>
        <v>40,00</v>
      </c>
      <c r="CE461" s="5" t="str">
        <f>"2016"</f>
        <v>2016</v>
      </c>
      <c r="CF461" s="5" t="str">
        <f>""</f>
        <v/>
      </c>
      <c r="CG461" s="5" t="str">
        <f>"40,00"</f>
        <v>40,00</v>
      </c>
      <c r="CH461" s="5" t="str">
        <f>"2016"</f>
        <v>2016</v>
      </c>
      <c r="CI461" s="5" t="str">
        <f>"40,00"</f>
        <v>40,00</v>
      </c>
      <c r="CJ461" s="5" t="str">
        <f>"2015"</f>
        <v>2015</v>
      </c>
    </row>
    <row r="462" spans="1:88" ht="11.25" customHeight="1">
      <c r="A462" s="3" t="str">
        <f>"1.449"</f>
        <v>1.449</v>
      </c>
      <c r="B462" s="4" t="str">
        <f>"п. Плоское, улица. Центральная, д.41"</f>
        <v>п. Плоское, улица. Центральная, д.41</v>
      </c>
      <c r="C462" s="7" t="str">
        <f>"1964"</f>
        <v>1964</v>
      </c>
      <c r="D462" s="5" t="str">
        <f t="shared" si="718"/>
        <v>х</v>
      </c>
      <c r="E462" s="5" t="str">
        <f t="shared" si="718"/>
        <v>х</v>
      </c>
      <c r="F462" s="5" t="str">
        <f t="shared" si="718"/>
        <v>х</v>
      </c>
      <c r="G462" s="5" t="str">
        <f t="shared" si="718"/>
        <v>х</v>
      </c>
      <c r="H462" s="5" t="str">
        <f t="shared" si="718"/>
        <v>х</v>
      </c>
      <c r="I462" s="5" t="str">
        <f t="shared" si="718"/>
        <v>х</v>
      </c>
      <c r="J462" s="5" t="str">
        <f t="shared" si="718"/>
        <v>х</v>
      </c>
      <c r="K462" s="5" t="str">
        <f t="shared" si="718"/>
        <v>х</v>
      </c>
      <c r="L462" s="5" t="str">
        <f t="shared" si="718"/>
        <v>х</v>
      </c>
      <c r="M462" s="5" t="str">
        <f t="shared" si="718"/>
        <v>х</v>
      </c>
      <c r="N462" s="5" t="str">
        <f t="shared" si="718"/>
        <v>х</v>
      </c>
      <c r="O462" s="8" t="str">
        <f>""</f>
        <v/>
      </c>
      <c r="P462" s="5" t="str">
        <f>""</f>
        <v/>
      </c>
      <c r="Q462" s="5" t="str">
        <f>""</f>
        <v/>
      </c>
      <c r="R462" s="5" t="str">
        <f>""</f>
        <v/>
      </c>
      <c r="S462" s="5" t="str">
        <f>""</f>
        <v/>
      </c>
      <c r="T462" s="5" t="str">
        <f>""</f>
        <v/>
      </c>
      <c r="U462" s="5" t="str">
        <f>""</f>
        <v/>
      </c>
      <c r="V462" s="5" t="str">
        <f>""</f>
        <v/>
      </c>
      <c r="W462" s="5" t="str">
        <f>""</f>
        <v/>
      </c>
      <c r="X462" s="5" t="str">
        <f>""</f>
        <v/>
      </c>
      <c r="Y462" s="9" t="str">
        <f>""</f>
        <v/>
      </c>
      <c r="Z462" s="5" t="str">
        <f>"2005"</f>
        <v>2005</v>
      </c>
      <c r="AA462" s="5" t="str">
        <f>""</f>
        <v/>
      </c>
      <c r="AB462" s="5" t="str">
        <f>""</f>
        <v/>
      </c>
      <c r="AC462" s="5" t="str">
        <f>""</f>
        <v/>
      </c>
      <c r="AD462" s="5" t="str">
        <f>""</f>
        <v/>
      </c>
      <c r="AE462" s="5" t="str">
        <f>""</f>
        <v/>
      </c>
      <c r="AF462" s="5" t="str">
        <f>""</f>
        <v/>
      </c>
      <c r="AG462" s="5" t="str">
        <f>""</f>
        <v/>
      </c>
      <c r="AH462" s="5" t="str">
        <f>""</f>
        <v/>
      </c>
      <c r="AI462" s="5" t="str">
        <f>""</f>
        <v/>
      </c>
      <c r="AJ462" s="5" t="str">
        <f>""</f>
        <v/>
      </c>
      <c r="AK462" s="8" t="str">
        <f t="shared" si="713"/>
        <v>х</v>
      </c>
      <c r="AL462" s="5" t="str">
        <f t="shared" si="713"/>
        <v>х</v>
      </c>
      <c r="AM462" s="5" t="str">
        <f t="shared" si="713"/>
        <v>х</v>
      </c>
      <c r="AN462" s="5" t="str">
        <f t="shared" si="713"/>
        <v>х</v>
      </c>
      <c r="AO462" s="5" t="str">
        <f t="shared" si="713"/>
        <v>х</v>
      </c>
      <c r="AP462" s="5" t="str">
        <f t="shared" si="713"/>
        <v>х</v>
      </c>
      <c r="AQ462" s="5" t="str">
        <f t="shared" si="713"/>
        <v>х</v>
      </c>
      <c r="AR462" s="5" t="str">
        <f t="shared" si="713"/>
        <v>х</v>
      </c>
      <c r="AS462" s="5" t="str">
        <f t="shared" si="713"/>
        <v>х</v>
      </c>
      <c r="AT462" s="5" t="str">
        <f t="shared" si="713"/>
        <v>х</v>
      </c>
      <c r="AU462" s="5" t="str">
        <f t="shared" si="714"/>
        <v>х</v>
      </c>
      <c r="AV462" s="5" t="str">
        <f t="shared" si="714"/>
        <v>х</v>
      </c>
      <c r="AW462" s="5" t="str">
        <f t="shared" si="714"/>
        <v>х</v>
      </c>
      <c r="AX462" s="5" t="str">
        <f t="shared" si="714"/>
        <v>х</v>
      </c>
      <c r="AY462" s="5" t="str">
        <f t="shared" si="714"/>
        <v>х</v>
      </c>
      <c r="AZ462" s="5" t="str">
        <f t="shared" si="714"/>
        <v>х</v>
      </c>
      <c r="BA462" s="5" t="str">
        <f t="shared" si="714"/>
        <v>х</v>
      </c>
      <c r="BB462" s="5" t="str">
        <f t="shared" si="714"/>
        <v>х</v>
      </c>
      <c r="BC462" s="5" t="str">
        <f t="shared" si="714"/>
        <v>х</v>
      </c>
      <c r="BD462" s="5" t="str">
        <f t="shared" si="714"/>
        <v>х</v>
      </c>
      <c r="BE462" s="5" t="str">
        <f t="shared" si="715"/>
        <v>х</v>
      </c>
      <c r="BF462" s="5" t="str">
        <f t="shared" si="715"/>
        <v>х</v>
      </c>
      <c r="BG462" s="5" t="str">
        <f t="shared" si="715"/>
        <v>х</v>
      </c>
      <c r="BH462" s="5" t="str">
        <f t="shared" si="715"/>
        <v>х</v>
      </c>
      <c r="BI462" s="5" t="str">
        <f t="shared" si="715"/>
        <v>х</v>
      </c>
      <c r="BJ462" s="5" t="str">
        <f t="shared" si="715"/>
        <v>х</v>
      </c>
      <c r="BK462" s="5" t="str">
        <f t="shared" si="715"/>
        <v>х</v>
      </c>
      <c r="BL462" s="5" t="str">
        <f t="shared" si="715"/>
        <v>х</v>
      </c>
      <c r="BM462" s="5" t="str">
        <f t="shared" si="715"/>
        <v>х</v>
      </c>
      <c r="BN462" s="5" t="str">
        <f t="shared" si="715"/>
        <v>х</v>
      </c>
      <c r="BO462" s="5" t="str">
        <f t="shared" si="715"/>
        <v>х</v>
      </c>
      <c r="BP462" s="5" t="str">
        <f t="shared" si="715"/>
        <v>х</v>
      </c>
      <c r="BQ462" s="5" t="str">
        <f t="shared" si="715"/>
        <v>х</v>
      </c>
      <c r="BR462" s="5" t="str">
        <f>"2011"</f>
        <v>2011</v>
      </c>
      <c r="BS462" s="5" t="str">
        <f>"0,00"</f>
        <v>0,00</v>
      </c>
      <c r="BT462" s="5" t="str">
        <f>"2030"</f>
        <v>2030</v>
      </c>
      <c r="BU462" s="5" t="str">
        <f t="shared" si="689"/>
        <v>нет</v>
      </c>
      <c r="BV462" s="5" t="str">
        <f t="shared" si="720"/>
        <v>x</v>
      </c>
      <c r="BW462" s="5" t="str">
        <f t="shared" si="720"/>
        <v>x</v>
      </c>
      <c r="BX462" s="5" t="str">
        <f t="shared" si="720"/>
        <v>x</v>
      </c>
      <c r="BY462" s="5" t="str">
        <f t="shared" si="711"/>
        <v>нет</v>
      </c>
      <c r="BZ462" s="5" t="str">
        <f t="shared" si="712"/>
        <v>x</v>
      </c>
      <c r="CA462" s="5" t="str">
        <f t="shared" si="712"/>
        <v>x</v>
      </c>
      <c r="CB462" s="5" t="str">
        <f t="shared" si="712"/>
        <v>x</v>
      </c>
      <c r="CC462" s="5" t="str">
        <f>""</f>
        <v/>
      </c>
      <c r="CD462" s="5" t="str">
        <f>"45,00"</f>
        <v>45,00</v>
      </c>
      <c r="CE462" s="5" t="str">
        <f>"2016"</f>
        <v>2016</v>
      </c>
      <c r="CF462" s="5" t="str">
        <f>""</f>
        <v/>
      </c>
      <c r="CG462" s="5" t="str">
        <f>"45,00"</f>
        <v>45,00</v>
      </c>
      <c r="CH462" s="5" t="str">
        <f>"2016"</f>
        <v>2016</v>
      </c>
      <c r="CI462" s="5" t="str">
        <f>"45,00"</f>
        <v>45,00</v>
      </c>
      <c r="CJ462" s="5" t="str">
        <f>"2025"</f>
        <v>2025</v>
      </c>
    </row>
    <row r="463" spans="1:88" ht="11.25" customHeight="1">
      <c r="A463" s="3" t="str">
        <f>"1.450"</f>
        <v>1.450</v>
      </c>
      <c r="B463" s="4" t="str">
        <f>"п. Плоское, улица. Центральная, д.43"</f>
        <v>п. Плоское, улица. Центральная, д.43</v>
      </c>
      <c r="C463" s="7" t="str">
        <f>"1963"</f>
        <v>1963</v>
      </c>
      <c r="D463" s="5" t="str">
        <f t="shared" si="718"/>
        <v>х</v>
      </c>
      <c r="E463" s="5" t="str">
        <f t="shared" si="718"/>
        <v>х</v>
      </c>
      <c r="F463" s="5" t="str">
        <f t="shared" si="718"/>
        <v>х</v>
      </c>
      <c r="G463" s="5" t="str">
        <f t="shared" si="718"/>
        <v>х</v>
      </c>
      <c r="H463" s="5" t="str">
        <f t="shared" si="718"/>
        <v>х</v>
      </c>
      <c r="I463" s="5" t="str">
        <f t="shared" si="718"/>
        <v>х</v>
      </c>
      <c r="J463" s="5" t="str">
        <f t="shared" si="718"/>
        <v>х</v>
      </c>
      <c r="K463" s="5" t="str">
        <f t="shared" si="718"/>
        <v>х</v>
      </c>
      <c r="L463" s="5" t="str">
        <f t="shared" si="718"/>
        <v>х</v>
      </c>
      <c r="M463" s="5" t="str">
        <f t="shared" si="718"/>
        <v>х</v>
      </c>
      <c r="N463" s="5" t="str">
        <f t="shared" si="718"/>
        <v>х</v>
      </c>
      <c r="O463" s="8" t="str">
        <f>""</f>
        <v/>
      </c>
      <c r="P463" s="5" t="str">
        <f>""</f>
        <v/>
      </c>
      <c r="Q463" s="5" t="str">
        <f>""</f>
        <v/>
      </c>
      <c r="R463" s="5" t="str">
        <f>""</f>
        <v/>
      </c>
      <c r="S463" s="5" t="str">
        <f>""</f>
        <v/>
      </c>
      <c r="T463" s="5" t="str">
        <f>""</f>
        <v/>
      </c>
      <c r="U463" s="5" t="str">
        <f>""</f>
        <v/>
      </c>
      <c r="V463" s="5" t="str">
        <f>""</f>
        <v/>
      </c>
      <c r="W463" s="5" t="str">
        <f>""</f>
        <v/>
      </c>
      <c r="X463" s="5" t="str">
        <f>""</f>
        <v/>
      </c>
      <c r="Y463" s="9" t="str">
        <f>""</f>
        <v/>
      </c>
      <c r="Z463" s="5" t="str">
        <f>"2005"</f>
        <v>2005</v>
      </c>
      <c r="AA463" s="5" t="str">
        <f>""</f>
        <v/>
      </c>
      <c r="AB463" s="5" t="str">
        <f>""</f>
        <v/>
      </c>
      <c r="AC463" s="5" t="str">
        <f>""</f>
        <v/>
      </c>
      <c r="AD463" s="5" t="str">
        <f>""</f>
        <v/>
      </c>
      <c r="AE463" s="5" t="str">
        <f>""</f>
        <v/>
      </c>
      <c r="AF463" s="5" t="str">
        <f>""</f>
        <v/>
      </c>
      <c r="AG463" s="5" t="str">
        <f>""</f>
        <v/>
      </c>
      <c r="AH463" s="5" t="str">
        <f>""</f>
        <v/>
      </c>
      <c r="AI463" s="5" t="str">
        <f>""</f>
        <v/>
      </c>
      <c r="AJ463" s="5" t="str">
        <f>""</f>
        <v/>
      </c>
      <c r="AK463" s="8" t="str">
        <f t="shared" si="713"/>
        <v>х</v>
      </c>
      <c r="AL463" s="5" t="str">
        <f t="shared" si="713"/>
        <v>х</v>
      </c>
      <c r="AM463" s="5" t="str">
        <f t="shared" si="713"/>
        <v>х</v>
      </c>
      <c r="AN463" s="5" t="str">
        <f t="shared" si="713"/>
        <v>х</v>
      </c>
      <c r="AO463" s="5" t="str">
        <f t="shared" si="713"/>
        <v>х</v>
      </c>
      <c r="AP463" s="5" t="str">
        <f t="shared" si="713"/>
        <v>х</v>
      </c>
      <c r="AQ463" s="5" t="str">
        <f t="shared" si="713"/>
        <v>х</v>
      </c>
      <c r="AR463" s="5" t="str">
        <f t="shared" si="713"/>
        <v>х</v>
      </c>
      <c r="AS463" s="5" t="str">
        <f t="shared" si="713"/>
        <v>х</v>
      </c>
      <c r="AT463" s="5" t="str">
        <f t="shared" si="713"/>
        <v>х</v>
      </c>
      <c r="AU463" s="5" t="str">
        <f t="shared" si="714"/>
        <v>х</v>
      </c>
      <c r="AV463" s="5" t="str">
        <f t="shared" si="714"/>
        <v>х</v>
      </c>
      <c r="AW463" s="5" t="str">
        <f t="shared" si="714"/>
        <v>х</v>
      </c>
      <c r="AX463" s="5" t="str">
        <f t="shared" si="714"/>
        <v>х</v>
      </c>
      <c r="AY463" s="5" t="str">
        <f t="shared" si="714"/>
        <v>х</v>
      </c>
      <c r="AZ463" s="5" t="str">
        <f t="shared" si="714"/>
        <v>х</v>
      </c>
      <c r="BA463" s="5" t="str">
        <f t="shared" si="714"/>
        <v>х</v>
      </c>
      <c r="BB463" s="5" t="str">
        <f t="shared" si="714"/>
        <v>х</v>
      </c>
      <c r="BC463" s="5" t="str">
        <f t="shared" si="714"/>
        <v>х</v>
      </c>
      <c r="BD463" s="5" t="str">
        <f t="shared" si="714"/>
        <v>х</v>
      </c>
      <c r="BE463" s="5" t="str">
        <f t="shared" si="715"/>
        <v>х</v>
      </c>
      <c r="BF463" s="5" t="str">
        <f t="shared" si="715"/>
        <v>х</v>
      </c>
      <c r="BG463" s="5" t="str">
        <f t="shared" si="715"/>
        <v>х</v>
      </c>
      <c r="BH463" s="5" t="str">
        <f t="shared" si="715"/>
        <v>х</v>
      </c>
      <c r="BI463" s="5" t="str">
        <f t="shared" si="715"/>
        <v>х</v>
      </c>
      <c r="BJ463" s="5" t="str">
        <f t="shared" si="715"/>
        <v>х</v>
      </c>
      <c r="BK463" s="5" t="str">
        <f t="shared" si="715"/>
        <v>х</v>
      </c>
      <c r="BL463" s="5" t="str">
        <f t="shared" si="715"/>
        <v>х</v>
      </c>
      <c r="BM463" s="5" t="str">
        <f t="shared" si="715"/>
        <v>х</v>
      </c>
      <c r="BN463" s="5" t="str">
        <f t="shared" si="715"/>
        <v>х</v>
      </c>
      <c r="BO463" s="5" t="str">
        <f t="shared" si="715"/>
        <v>х</v>
      </c>
      <c r="BP463" s="5" t="str">
        <f t="shared" si="715"/>
        <v>х</v>
      </c>
      <c r="BQ463" s="5" t="str">
        <f t="shared" si="715"/>
        <v>х</v>
      </c>
      <c r="BR463" s="5" t="str">
        <f>"2008"</f>
        <v>2008</v>
      </c>
      <c r="BS463" s="5" t="str">
        <f>"10,00"</f>
        <v>10,00</v>
      </c>
      <c r="BT463" s="5" t="str">
        <f>"2030"</f>
        <v>2030</v>
      </c>
      <c r="BU463" s="5" t="str">
        <f t="shared" si="689"/>
        <v>нет</v>
      </c>
      <c r="BV463" s="5" t="str">
        <f t="shared" si="720"/>
        <v>x</v>
      </c>
      <c r="BW463" s="5" t="str">
        <f t="shared" si="720"/>
        <v>x</v>
      </c>
      <c r="BX463" s="5" t="str">
        <f t="shared" si="720"/>
        <v>x</v>
      </c>
      <c r="BY463" s="5" t="str">
        <f t="shared" si="711"/>
        <v>нет</v>
      </c>
      <c r="BZ463" s="5" t="str">
        <f t="shared" si="712"/>
        <v>x</v>
      </c>
      <c r="CA463" s="5" t="str">
        <f t="shared" si="712"/>
        <v>x</v>
      </c>
      <c r="CB463" s="5" t="str">
        <f t="shared" si="712"/>
        <v>x</v>
      </c>
      <c r="CC463" s="5" t="str">
        <f>""</f>
        <v/>
      </c>
      <c r="CD463" s="5" t="str">
        <f>"46,00"</f>
        <v>46,00</v>
      </c>
      <c r="CE463" s="5" t="str">
        <f>"2018"</f>
        <v>2018</v>
      </c>
      <c r="CF463" s="5" t="str">
        <f>""</f>
        <v/>
      </c>
      <c r="CG463" s="5" t="str">
        <f>"46,00"</f>
        <v>46,00</v>
      </c>
      <c r="CH463" s="5" t="str">
        <f>"2018"</f>
        <v>2018</v>
      </c>
      <c r="CI463" s="5" t="str">
        <f>"46,00"</f>
        <v>46,00</v>
      </c>
      <c r="CJ463" s="5" t="str">
        <f>"2023"</f>
        <v>2023</v>
      </c>
    </row>
    <row r="464" spans="1:88" ht="11.25" customHeight="1">
      <c r="A464" s="3" t="str">
        <f>"1.451"</f>
        <v>1.451</v>
      </c>
      <c r="B464" s="4" t="str">
        <f>"п. Плоское, улица. Школьная, д.3"</f>
        <v>п. Плоское, улица. Школьная, д.3</v>
      </c>
      <c r="C464" s="7" t="str">
        <f>"1977"</f>
        <v>1977</v>
      </c>
      <c r="D464" s="5" t="str">
        <f>""</f>
        <v/>
      </c>
      <c r="E464" s="5" t="str">
        <f>"35,00"</f>
        <v>35,00</v>
      </c>
      <c r="F464" s="5" t="str">
        <f>"2017"</f>
        <v>2017</v>
      </c>
      <c r="G464" s="5" t="str">
        <f>"нет"</f>
        <v>нет</v>
      </c>
      <c r="H464" s="5" t="str">
        <f>""</f>
        <v/>
      </c>
      <c r="I464" s="5" t="str">
        <f>""</f>
        <v/>
      </c>
      <c r="J464" s="5" t="str">
        <f>""</f>
        <v/>
      </c>
      <c r="K464" s="5" t="str">
        <f>"нет"</f>
        <v>нет</v>
      </c>
      <c r="L464" s="5" t="str">
        <f>""</f>
        <v/>
      </c>
      <c r="M464" s="5" t="str">
        <f>""</f>
        <v/>
      </c>
      <c r="N464" s="5" t="str">
        <f>""</f>
        <v/>
      </c>
      <c r="O464" s="8" t="str">
        <f>""</f>
        <v/>
      </c>
      <c r="P464" s="5" t="str">
        <f>"35,00"</f>
        <v>35,00</v>
      </c>
      <c r="Q464" s="5" t="str">
        <f>"2018"</f>
        <v>2018</v>
      </c>
      <c r="R464" s="5" t="str">
        <f>"нет"</f>
        <v>нет</v>
      </c>
      <c r="S464" s="5" t="str">
        <f>""</f>
        <v/>
      </c>
      <c r="T464" s="5" t="str">
        <f>""</f>
        <v/>
      </c>
      <c r="U464" s="5" t="str">
        <f>""</f>
        <v/>
      </c>
      <c r="V464" s="5" t="str">
        <f>"нет"</f>
        <v>нет</v>
      </c>
      <c r="W464" s="5" t="str">
        <f>""</f>
        <v/>
      </c>
      <c r="X464" s="5" t="str">
        <f>""</f>
        <v/>
      </c>
      <c r="Y464" s="9" t="str">
        <f>""</f>
        <v/>
      </c>
      <c r="Z464" s="5" t="str">
        <f>""</f>
        <v/>
      </c>
      <c r="AA464" s="5" t="str">
        <f>"35,00"</f>
        <v>35,00</v>
      </c>
      <c r="AB464" s="5" t="str">
        <f>"2019"</f>
        <v>2019</v>
      </c>
      <c r="AC464" s="5" t="str">
        <f>"нет"</f>
        <v>нет</v>
      </c>
      <c r="AD464" s="5" t="str">
        <f>""</f>
        <v/>
      </c>
      <c r="AE464" s="5" t="str">
        <f>""</f>
        <v/>
      </c>
      <c r="AF464" s="5" t="str">
        <f>""</f>
        <v/>
      </c>
      <c r="AG464" s="5" t="str">
        <f>"нет"</f>
        <v>нет</v>
      </c>
      <c r="AH464" s="5" t="str">
        <f>""</f>
        <v/>
      </c>
      <c r="AI464" s="5" t="str">
        <f>""</f>
        <v/>
      </c>
      <c r="AJ464" s="5" t="str">
        <f>""</f>
        <v/>
      </c>
      <c r="AK464" s="8" t="str">
        <f>""</f>
        <v/>
      </c>
      <c r="AL464" s="5" t="str">
        <f>"35,00"</f>
        <v>35,00</v>
      </c>
      <c r="AM464" s="5" t="str">
        <f>"2018"</f>
        <v>2018</v>
      </c>
      <c r="AN464" s="5" t="str">
        <f>"нет"</f>
        <v>нет</v>
      </c>
      <c r="AO464" s="5" t="str">
        <f>""</f>
        <v/>
      </c>
      <c r="AP464" s="5" t="str">
        <f>""</f>
        <v/>
      </c>
      <c r="AQ464" s="5" t="str">
        <f>""</f>
        <v/>
      </c>
      <c r="AR464" s="5" t="str">
        <f>"нет"</f>
        <v>нет</v>
      </c>
      <c r="AS464" s="5" t="str">
        <f>""</f>
        <v/>
      </c>
      <c r="AT464" s="5" t="str">
        <f>""</f>
        <v/>
      </c>
      <c r="AU464" s="5" t="str">
        <f>""</f>
        <v/>
      </c>
      <c r="AV464" s="5" t="str">
        <f>""</f>
        <v/>
      </c>
      <c r="AW464" s="5" t="str">
        <f>"45,00"</f>
        <v>45,00</v>
      </c>
      <c r="AX464" s="5" t="str">
        <f>"2018"</f>
        <v>2018</v>
      </c>
      <c r="AY464" s="5" t="str">
        <f>"нет"</f>
        <v>нет</v>
      </c>
      <c r="AZ464" s="5" t="str">
        <f>""</f>
        <v/>
      </c>
      <c r="BA464" s="5" t="str">
        <f>""</f>
        <v/>
      </c>
      <c r="BB464" s="5" t="str">
        <f>""</f>
        <v/>
      </c>
      <c r="BC464" s="5" t="str">
        <f>"нет"</f>
        <v>нет</v>
      </c>
      <c r="BD464" s="5" t="str">
        <f>""</f>
        <v/>
      </c>
      <c r="BE464" s="5" t="str">
        <f>""</f>
        <v/>
      </c>
      <c r="BF464" s="5" t="str">
        <f>""</f>
        <v/>
      </c>
      <c r="BG464" s="5" t="str">
        <f>""</f>
        <v/>
      </c>
      <c r="BH464" s="5" t="str">
        <f>"35,00"</f>
        <v>35,00</v>
      </c>
      <c r="BI464" s="5" t="str">
        <f>"2016"</f>
        <v>2016</v>
      </c>
      <c r="BJ464" s="5" t="str">
        <f>"нет"</f>
        <v>нет</v>
      </c>
      <c r="BK464" s="5" t="str">
        <f>""</f>
        <v/>
      </c>
      <c r="BL464" s="5" t="str">
        <f>""</f>
        <v/>
      </c>
      <c r="BM464" s="5" t="str">
        <f>""</f>
        <v/>
      </c>
      <c r="BN464" s="5" t="str">
        <f>"нет"</f>
        <v>нет</v>
      </c>
      <c r="BO464" s="5" t="str">
        <f>""</f>
        <v/>
      </c>
      <c r="BP464" s="5" t="str">
        <f>""</f>
        <v/>
      </c>
      <c r="BQ464" s="5" t="str">
        <f>""</f>
        <v/>
      </c>
      <c r="BR464" s="5" t="str">
        <f>"2012"</f>
        <v>2012</v>
      </c>
      <c r="BS464" s="5" t="str">
        <f>"0,00"</f>
        <v>0,00</v>
      </c>
      <c r="BT464" s="5" t="str">
        <f>"2030"</f>
        <v>2030</v>
      </c>
      <c r="BU464" s="5" t="str">
        <f t="shared" si="689"/>
        <v>нет</v>
      </c>
      <c r="BV464" s="5" t="str">
        <f t="shared" si="720"/>
        <v>x</v>
      </c>
      <c r="BW464" s="5" t="str">
        <f t="shared" si="720"/>
        <v>x</v>
      </c>
      <c r="BX464" s="5" t="str">
        <f t="shared" si="720"/>
        <v>x</v>
      </c>
      <c r="BY464" s="5" t="str">
        <f>"да"</f>
        <v>да</v>
      </c>
      <c r="BZ464" s="5" t="str">
        <f>""</f>
        <v/>
      </c>
      <c r="CA464" s="5" t="str">
        <f>"35,00"</f>
        <v>35,00</v>
      </c>
      <c r="CB464" s="5" t="str">
        <f>"2017"</f>
        <v>2017</v>
      </c>
      <c r="CC464" s="5" t="str">
        <f>""</f>
        <v/>
      </c>
      <c r="CD464" s="5" t="str">
        <f>"35,00"</f>
        <v>35,00</v>
      </c>
      <c r="CE464" s="5" t="str">
        <f>"2020"</f>
        <v>2020</v>
      </c>
      <c r="CF464" s="5" t="str">
        <f>""</f>
        <v/>
      </c>
      <c r="CG464" s="5" t="str">
        <f>"35,00"</f>
        <v>35,00</v>
      </c>
      <c r="CH464" s="5" t="str">
        <f>"2016"</f>
        <v>2016</v>
      </c>
      <c r="CI464" s="5" t="str">
        <f>"35,00"</f>
        <v>35,00</v>
      </c>
      <c r="CJ464" s="5" t="str">
        <f>"2018"</f>
        <v>2018</v>
      </c>
    </row>
    <row r="465" spans="1:88" ht="11.25" customHeight="1">
      <c r="A465" s="3" t="str">
        <f>"1.452"</f>
        <v>1.452</v>
      </c>
      <c r="B465" s="4" t="str">
        <f>"п. Плоское, улица. Школьная, д.4"</f>
        <v>п. Плоское, улица. Школьная, д.4</v>
      </c>
      <c r="C465" s="7" t="str">
        <f>"1985"</f>
        <v>1985</v>
      </c>
      <c r="D465" s="5" t="str">
        <f>""</f>
        <v/>
      </c>
      <c r="E465" s="5" t="str">
        <f>"25,00"</f>
        <v>25,00</v>
      </c>
      <c r="F465" s="5" t="str">
        <f>"2017"</f>
        <v>2017</v>
      </c>
      <c r="G465" s="5" t="str">
        <f>"нет"</f>
        <v>нет</v>
      </c>
      <c r="H465" s="5" t="str">
        <f>""</f>
        <v/>
      </c>
      <c r="I465" s="5" t="str">
        <f>""</f>
        <v/>
      </c>
      <c r="J465" s="5" t="str">
        <f>""</f>
        <v/>
      </c>
      <c r="K465" s="5" t="str">
        <f>"нет"</f>
        <v>нет</v>
      </c>
      <c r="L465" s="5" t="str">
        <f>""</f>
        <v/>
      </c>
      <c r="M465" s="5" t="str">
        <f>""</f>
        <v/>
      </c>
      <c r="N465" s="5" t="str">
        <f>""</f>
        <v/>
      </c>
      <c r="O465" s="8" t="str">
        <f>""</f>
        <v/>
      </c>
      <c r="P465" s="5" t="str">
        <f>"25,00"</f>
        <v>25,00</v>
      </c>
      <c r="Q465" s="5" t="str">
        <f>"2019"</f>
        <v>2019</v>
      </c>
      <c r="R465" s="5" t="str">
        <f>"нет"</f>
        <v>нет</v>
      </c>
      <c r="S465" s="5" t="str">
        <f>""</f>
        <v/>
      </c>
      <c r="T465" s="5" t="str">
        <f>""</f>
        <v/>
      </c>
      <c r="U465" s="5" t="str">
        <f>""</f>
        <v/>
      </c>
      <c r="V465" s="5" t="str">
        <f>"нет"</f>
        <v>нет</v>
      </c>
      <c r="W465" s="5" t="str">
        <f>""</f>
        <v/>
      </c>
      <c r="X465" s="5" t="str">
        <f>""</f>
        <v/>
      </c>
      <c r="Y465" s="9" t="str">
        <f>""</f>
        <v/>
      </c>
      <c r="Z465" s="5" t="str">
        <f>""</f>
        <v/>
      </c>
      <c r="AA465" s="5" t="str">
        <f>"25,00"</f>
        <v>25,00</v>
      </c>
      <c r="AB465" s="5" t="str">
        <f>"2019"</f>
        <v>2019</v>
      </c>
      <c r="AC465" s="5" t="str">
        <f>"нет"</f>
        <v>нет</v>
      </c>
      <c r="AD465" s="5" t="str">
        <f>""</f>
        <v/>
      </c>
      <c r="AE465" s="5" t="str">
        <f>""</f>
        <v/>
      </c>
      <c r="AF465" s="5" t="str">
        <f>""</f>
        <v/>
      </c>
      <c r="AG465" s="5" t="str">
        <f>"нет"</f>
        <v>нет</v>
      </c>
      <c r="AH465" s="5" t="str">
        <f>""</f>
        <v/>
      </c>
      <c r="AI465" s="5" t="str">
        <f>""</f>
        <v/>
      </c>
      <c r="AJ465" s="5" t="str">
        <f>""</f>
        <v/>
      </c>
      <c r="AK465" s="8" t="str">
        <f>""</f>
        <v/>
      </c>
      <c r="AL465" s="5" t="str">
        <f>"25,00"</f>
        <v>25,00</v>
      </c>
      <c r="AM465" s="5" t="str">
        <f>"2019"</f>
        <v>2019</v>
      </c>
      <c r="AN465" s="5" t="str">
        <f>"нет"</f>
        <v>нет</v>
      </c>
      <c r="AO465" s="5" t="str">
        <f>""</f>
        <v/>
      </c>
      <c r="AP465" s="5" t="str">
        <f>""</f>
        <v/>
      </c>
      <c r="AQ465" s="5" t="str">
        <f>""</f>
        <v/>
      </c>
      <c r="AR465" s="5" t="str">
        <f>"нет"</f>
        <v>нет</v>
      </c>
      <c r="AS465" s="5" t="str">
        <f>""</f>
        <v/>
      </c>
      <c r="AT465" s="5" t="str">
        <f>""</f>
        <v/>
      </c>
      <c r="AU465" s="5" t="str">
        <f>""</f>
        <v/>
      </c>
      <c r="AV465" s="5" t="str">
        <f>""</f>
        <v/>
      </c>
      <c r="AW465" s="5" t="str">
        <f>""</f>
        <v/>
      </c>
      <c r="AX465" s="5" t="str">
        <f>""</f>
        <v/>
      </c>
      <c r="AY465" s="5" t="str">
        <f>""</f>
        <v/>
      </c>
      <c r="AZ465" s="5" t="str">
        <f>""</f>
        <v/>
      </c>
      <c r="BA465" s="5" t="str">
        <f>""</f>
        <v/>
      </c>
      <c r="BB465" s="5" t="str">
        <f>""</f>
        <v/>
      </c>
      <c r="BC465" s="5" t="str">
        <f>""</f>
        <v/>
      </c>
      <c r="BD465" s="5" t="str">
        <f>""</f>
        <v/>
      </c>
      <c r="BE465" s="5" t="str">
        <f>""</f>
        <v/>
      </c>
      <c r="BF465" s="5" t="str">
        <f>""</f>
        <v/>
      </c>
      <c r="BG465" s="5" t="str">
        <f>""</f>
        <v/>
      </c>
      <c r="BH465" s="5" t="str">
        <f>"25,00"</f>
        <v>25,00</v>
      </c>
      <c r="BI465" s="5" t="str">
        <f>"2016"</f>
        <v>2016</v>
      </c>
      <c r="BJ465" s="5" t="str">
        <f>"нет"</f>
        <v>нет</v>
      </c>
      <c r="BK465" s="5" t="str">
        <f>""</f>
        <v/>
      </c>
      <c r="BL465" s="5" t="str">
        <f>""</f>
        <v/>
      </c>
      <c r="BM465" s="5" t="str">
        <f>""</f>
        <v/>
      </c>
      <c r="BN465" s="5" t="str">
        <f>"нет"</f>
        <v>нет</v>
      </c>
      <c r="BO465" s="5" t="str">
        <f>""</f>
        <v/>
      </c>
      <c r="BP465" s="5" t="str">
        <f>""</f>
        <v/>
      </c>
      <c r="BQ465" s="5" t="str">
        <f>""</f>
        <v/>
      </c>
      <c r="BR465" s="5" t="str">
        <f>""</f>
        <v/>
      </c>
      <c r="BS465" s="5" t="str">
        <f>"25,00"</f>
        <v>25,00</v>
      </c>
      <c r="BT465" s="5" t="str">
        <f>"2016"</f>
        <v>2016</v>
      </c>
      <c r="BU465" s="5" t="str">
        <f t="shared" si="689"/>
        <v>нет</v>
      </c>
      <c r="BV465" s="5" t="str">
        <f t="shared" si="720"/>
        <v>x</v>
      </c>
      <c r="BW465" s="5" t="str">
        <f t="shared" si="720"/>
        <v>x</v>
      </c>
      <c r="BX465" s="5" t="str">
        <f t="shared" si="720"/>
        <v>x</v>
      </c>
      <c r="BY465" s="5" t="str">
        <f>"да"</f>
        <v>да</v>
      </c>
      <c r="BZ465" s="5" t="str">
        <f>""</f>
        <v/>
      </c>
      <c r="CA465" s="5" t="str">
        <f>"25,00"</f>
        <v>25,00</v>
      </c>
      <c r="CB465" s="5" t="str">
        <f>"2018"</f>
        <v>2018</v>
      </c>
      <c r="CC465" s="5" t="str">
        <f>""</f>
        <v/>
      </c>
      <c r="CD465" s="5" t="str">
        <f>"25,00"</f>
        <v>25,00</v>
      </c>
      <c r="CE465" s="5" t="str">
        <f>"2016"</f>
        <v>2016</v>
      </c>
      <c r="CF465" s="5" t="str">
        <f>""</f>
        <v/>
      </c>
      <c r="CG465" s="5" t="str">
        <f>"25,00"</f>
        <v>25,00</v>
      </c>
      <c r="CH465" s="5" t="str">
        <f>"2017"</f>
        <v>2017</v>
      </c>
      <c r="CI465" s="5" t="str">
        <f>"25,00"</f>
        <v>25,00</v>
      </c>
      <c r="CJ465" s="5" t="str">
        <f>"2021"</f>
        <v>2021</v>
      </c>
    </row>
    <row r="466" spans="1:88" ht="11.25" customHeight="1">
      <c r="A466" s="3" t="str">
        <f>"1.453"</f>
        <v>1.453</v>
      </c>
      <c r="B466" s="4" t="str">
        <f>"п. Плоское, улица. Школьная, д.5"</f>
        <v>п. Плоское, улица. Школьная, д.5</v>
      </c>
      <c r="C466" s="7" t="str">
        <f>"1971"</f>
        <v>1971</v>
      </c>
      <c r="D466" s="5" t="str">
        <f>""</f>
        <v/>
      </c>
      <c r="E466" s="5" t="str">
        <f>"55,00"</f>
        <v>55,00</v>
      </c>
      <c r="F466" s="5" t="str">
        <f>"2017"</f>
        <v>2017</v>
      </c>
      <c r="G466" s="5" t="str">
        <f>"нет"</f>
        <v>нет</v>
      </c>
      <c r="H466" s="5" t="str">
        <f>""</f>
        <v/>
      </c>
      <c r="I466" s="5" t="str">
        <f>""</f>
        <v/>
      </c>
      <c r="J466" s="5" t="str">
        <f>""</f>
        <v/>
      </c>
      <c r="K466" s="5" t="str">
        <f>"нет"</f>
        <v>нет</v>
      </c>
      <c r="L466" s="5" t="str">
        <f>""</f>
        <v/>
      </c>
      <c r="M466" s="5" t="str">
        <f>""</f>
        <v/>
      </c>
      <c r="N466" s="5" t="str">
        <f>""</f>
        <v/>
      </c>
      <c r="O466" s="8" t="str">
        <f>""</f>
        <v/>
      </c>
      <c r="P466" s="5" t="str">
        <f>"40,00"</f>
        <v>40,00</v>
      </c>
      <c r="Q466" s="5" t="str">
        <f>"2016"</f>
        <v>2016</v>
      </c>
      <c r="R466" s="5" t="str">
        <f>"нет"</f>
        <v>нет</v>
      </c>
      <c r="S466" s="5" t="str">
        <f>""</f>
        <v/>
      </c>
      <c r="T466" s="5" t="str">
        <f>""</f>
        <v/>
      </c>
      <c r="U466" s="5" t="str">
        <f>""</f>
        <v/>
      </c>
      <c r="V466" s="5" t="str">
        <f>"нет"</f>
        <v>нет</v>
      </c>
      <c r="W466" s="5" t="str">
        <f>""</f>
        <v/>
      </c>
      <c r="X466" s="5" t="str">
        <f>""</f>
        <v/>
      </c>
      <c r="Y466" s="9" t="str">
        <f>""</f>
        <v/>
      </c>
      <c r="Z466" s="5" t="str">
        <f>""</f>
        <v/>
      </c>
      <c r="AA466" s="5" t="str">
        <f>"40,00"</f>
        <v>40,00</v>
      </c>
      <c r="AB466" s="5" t="str">
        <f>"2019"</f>
        <v>2019</v>
      </c>
      <c r="AC466" s="5" t="str">
        <f>"нет"</f>
        <v>нет</v>
      </c>
      <c r="AD466" s="5" t="str">
        <f>""</f>
        <v/>
      </c>
      <c r="AE466" s="5" t="str">
        <f>""</f>
        <v/>
      </c>
      <c r="AF466" s="5" t="str">
        <f>""</f>
        <v/>
      </c>
      <c r="AG466" s="5" t="str">
        <f>"нет"</f>
        <v>нет</v>
      </c>
      <c r="AH466" s="5" t="str">
        <f>""</f>
        <v/>
      </c>
      <c r="AI466" s="5" t="str">
        <f>""</f>
        <v/>
      </c>
      <c r="AJ466" s="5" t="str">
        <f>""</f>
        <v/>
      </c>
      <c r="AK466" s="8" t="str">
        <f>""</f>
        <v/>
      </c>
      <c r="AL466" s="5" t="str">
        <f>"40,00"</f>
        <v>40,00</v>
      </c>
      <c r="AM466" s="5" t="str">
        <f>"2018"</f>
        <v>2018</v>
      </c>
      <c r="AN466" s="5" t="str">
        <f>"нет"</f>
        <v>нет</v>
      </c>
      <c r="AO466" s="5" t="str">
        <f>""</f>
        <v/>
      </c>
      <c r="AP466" s="5" t="str">
        <f>""</f>
        <v/>
      </c>
      <c r="AQ466" s="5" t="str">
        <f>""</f>
        <v/>
      </c>
      <c r="AR466" s="5" t="str">
        <f>"нет"</f>
        <v>нет</v>
      </c>
      <c r="AS466" s="5" t="str">
        <f>""</f>
        <v/>
      </c>
      <c r="AT466" s="5" t="str">
        <f>""</f>
        <v/>
      </c>
      <c r="AU466" s="5" t="str">
        <f>""</f>
        <v/>
      </c>
      <c r="AV466" s="5" t="str">
        <f>""</f>
        <v/>
      </c>
      <c r="AW466" s="5" t="str">
        <f>""</f>
        <v/>
      </c>
      <c r="AX466" s="5" t="str">
        <f>""</f>
        <v/>
      </c>
      <c r="AY466" s="5" t="str">
        <f>""</f>
        <v/>
      </c>
      <c r="AZ466" s="5" t="str">
        <f>""</f>
        <v/>
      </c>
      <c r="BA466" s="5" t="str">
        <f>""</f>
        <v/>
      </c>
      <c r="BB466" s="5" t="str">
        <f>""</f>
        <v/>
      </c>
      <c r="BC466" s="5" t="str">
        <f>""</f>
        <v/>
      </c>
      <c r="BD466" s="5" t="str">
        <f>""</f>
        <v/>
      </c>
      <c r="BE466" s="5" t="str">
        <f>""</f>
        <v/>
      </c>
      <c r="BF466" s="5" t="str">
        <f>""</f>
        <v/>
      </c>
      <c r="BG466" s="5" t="str">
        <f>""</f>
        <v/>
      </c>
      <c r="BH466" s="5" t="str">
        <f>"40,00"</f>
        <v>40,00</v>
      </c>
      <c r="BI466" s="5" t="str">
        <f>"2016"</f>
        <v>2016</v>
      </c>
      <c r="BJ466" s="5" t="str">
        <f>"нет"</f>
        <v>нет</v>
      </c>
      <c r="BK466" s="5" t="str">
        <f>""</f>
        <v/>
      </c>
      <c r="BL466" s="5" t="str">
        <f>""</f>
        <v/>
      </c>
      <c r="BM466" s="5" t="str">
        <f>""</f>
        <v/>
      </c>
      <c r="BN466" s="5" t="str">
        <f>"нет"</f>
        <v>нет</v>
      </c>
      <c r="BO466" s="5" t="str">
        <f>""</f>
        <v/>
      </c>
      <c r="BP466" s="5" t="str">
        <f>""</f>
        <v/>
      </c>
      <c r="BQ466" s="5" t="str">
        <f>""</f>
        <v/>
      </c>
      <c r="BR466" s="5" t="str">
        <f>"2008"</f>
        <v>2008</v>
      </c>
      <c r="BS466" s="5" t="str">
        <f>"10,00"</f>
        <v>10,00</v>
      </c>
      <c r="BT466" s="5" t="str">
        <f>"2030"</f>
        <v>2030</v>
      </c>
      <c r="BU466" s="5" t="str">
        <f t="shared" si="689"/>
        <v>нет</v>
      </c>
      <c r="BV466" s="5" t="str">
        <f t="shared" si="720"/>
        <v>x</v>
      </c>
      <c r="BW466" s="5" t="str">
        <f t="shared" si="720"/>
        <v>x</v>
      </c>
      <c r="BX466" s="5" t="str">
        <f t="shared" si="720"/>
        <v>x</v>
      </c>
      <c r="BY466" s="5" t="str">
        <f>"да"</f>
        <v>да</v>
      </c>
      <c r="BZ466" s="5" t="str">
        <f>""</f>
        <v/>
      </c>
      <c r="CA466" s="5" t="str">
        <f>"40,00"</f>
        <v>40,00</v>
      </c>
      <c r="CB466" s="5" t="str">
        <f>"2017"</f>
        <v>2017</v>
      </c>
      <c r="CC466" s="5" t="str">
        <f>"2009"</f>
        <v>2009</v>
      </c>
      <c r="CD466" s="5" t="str">
        <f>"10,00"</f>
        <v>10,00</v>
      </c>
      <c r="CE466" s="5" t="str">
        <f>"2030"</f>
        <v>2030</v>
      </c>
      <c r="CF466" s="5" t="str">
        <f>"2009"</f>
        <v>2009</v>
      </c>
      <c r="CG466" s="5" t="str">
        <f>"10,00"</f>
        <v>10,00</v>
      </c>
      <c r="CH466" s="5" t="str">
        <f>"2030"</f>
        <v>2030</v>
      </c>
      <c r="CI466" s="5" t="str">
        <f>"40,00"</f>
        <v>40,00</v>
      </c>
      <c r="CJ466" s="5" t="str">
        <f>"2019"</f>
        <v>2019</v>
      </c>
    </row>
    <row r="467" spans="1:88" ht="11.25" customHeight="1">
      <c r="A467" s="3" t="str">
        <f>"1.454"</f>
        <v>1.454</v>
      </c>
      <c r="B467" s="4" t="str">
        <f>"п. Плоское, улица. Школьная, д.6"</f>
        <v>п. Плоское, улица. Школьная, д.6</v>
      </c>
      <c r="C467" s="7" t="str">
        <f>"1985"</f>
        <v>1985</v>
      </c>
      <c r="D467" s="5" t="str">
        <f>""</f>
        <v/>
      </c>
      <c r="E467" s="5" t="str">
        <f>"25,00"</f>
        <v>25,00</v>
      </c>
      <c r="F467" s="5" t="str">
        <f>"2016"</f>
        <v>2016</v>
      </c>
      <c r="G467" s="5" t="str">
        <f>"нет"</f>
        <v>нет</v>
      </c>
      <c r="H467" s="5" t="str">
        <f>""</f>
        <v/>
      </c>
      <c r="I467" s="5" t="str">
        <f>""</f>
        <v/>
      </c>
      <c r="J467" s="5" t="str">
        <f>""</f>
        <v/>
      </c>
      <c r="K467" s="5" t="str">
        <f>"нет"</f>
        <v>нет</v>
      </c>
      <c r="L467" s="5" t="str">
        <f>""</f>
        <v/>
      </c>
      <c r="M467" s="5" t="str">
        <f>""</f>
        <v/>
      </c>
      <c r="N467" s="5" t="str">
        <f>""</f>
        <v/>
      </c>
      <c r="O467" s="8" t="str">
        <f>""</f>
        <v/>
      </c>
      <c r="P467" s="5" t="str">
        <f>"25,00"</f>
        <v>25,00</v>
      </c>
      <c r="Q467" s="5" t="str">
        <f>"2019"</f>
        <v>2019</v>
      </c>
      <c r="R467" s="5" t="str">
        <f>"нет"</f>
        <v>нет</v>
      </c>
      <c r="S467" s="5" t="str">
        <f>""</f>
        <v/>
      </c>
      <c r="T467" s="5" t="str">
        <f>""</f>
        <v/>
      </c>
      <c r="U467" s="5" t="str">
        <f>""</f>
        <v/>
      </c>
      <c r="V467" s="5" t="str">
        <f>"нет"</f>
        <v>нет</v>
      </c>
      <c r="W467" s="5" t="str">
        <f>""</f>
        <v/>
      </c>
      <c r="X467" s="5" t="str">
        <f>""</f>
        <v/>
      </c>
      <c r="Y467" s="9" t="str">
        <f>""</f>
        <v/>
      </c>
      <c r="Z467" s="5" t="str">
        <f>""</f>
        <v/>
      </c>
      <c r="AA467" s="5" t="str">
        <f>"25,00"</f>
        <v>25,00</v>
      </c>
      <c r="AB467" s="5" t="str">
        <f>"2019"</f>
        <v>2019</v>
      </c>
      <c r="AC467" s="5" t="str">
        <f>"нет"</f>
        <v>нет</v>
      </c>
      <c r="AD467" s="5" t="str">
        <f>""</f>
        <v/>
      </c>
      <c r="AE467" s="5" t="str">
        <f>""</f>
        <v/>
      </c>
      <c r="AF467" s="5" t="str">
        <f>""</f>
        <v/>
      </c>
      <c r="AG467" s="5" t="str">
        <f>"нет"</f>
        <v>нет</v>
      </c>
      <c r="AH467" s="5" t="str">
        <f>""</f>
        <v/>
      </c>
      <c r="AI467" s="5" t="str">
        <f>""</f>
        <v/>
      </c>
      <c r="AJ467" s="5" t="str">
        <f>""</f>
        <v/>
      </c>
      <c r="AK467" s="8" t="str">
        <f>""</f>
        <v/>
      </c>
      <c r="AL467" s="5" t="str">
        <f>"25,00"</f>
        <v>25,00</v>
      </c>
      <c r="AM467" s="5" t="str">
        <f>"2019"</f>
        <v>2019</v>
      </c>
      <c r="AN467" s="5" t="str">
        <f>"нет"</f>
        <v>нет</v>
      </c>
      <c r="AO467" s="5" t="str">
        <f>""</f>
        <v/>
      </c>
      <c r="AP467" s="5" t="str">
        <f>""</f>
        <v/>
      </c>
      <c r="AQ467" s="5" t="str">
        <f>""</f>
        <v/>
      </c>
      <c r="AR467" s="5" t="str">
        <f>"нет"</f>
        <v>нет</v>
      </c>
      <c r="AS467" s="5" t="str">
        <f>""</f>
        <v/>
      </c>
      <c r="AT467" s="5" t="str">
        <f>""</f>
        <v/>
      </c>
      <c r="AU467" s="5" t="str">
        <f>""</f>
        <v/>
      </c>
      <c r="AV467" s="5" t="str">
        <f>""</f>
        <v/>
      </c>
      <c r="AW467" s="5" t="str">
        <f>""</f>
        <v/>
      </c>
      <c r="AX467" s="5" t="str">
        <f>""</f>
        <v/>
      </c>
      <c r="AY467" s="5" t="str">
        <f>""</f>
        <v/>
      </c>
      <c r="AZ467" s="5" t="str">
        <f>""</f>
        <v/>
      </c>
      <c r="BA467" s="5" t="str">
        <f>""</f>
        <v/>
      </c>
      <c r="BB467" s="5" t="str">
        <f>""</f>
        <v/>
      </c>
      <c r="BC467" s="5" t="str">
        <f>""</f>
        <v/>
      </c>
      <c r="BD467" s="5" t="str">
        <f>""</f>
        <v/>
      </c>
      <c r="BE467" s="5" t="str">
        <f>""</f>
        <v/>
      </c>
      <c r="BF467" s="5" t="str">
        <f>""</f>
        <v/>
      </c>
      <c r="BG467" s="5" t="str">
        <f>""</f>
        <v/>
      </c>
      <c r="BH467" s="5" t="str">
        <f>"25,00"</f>
        <v>25,00</v>
      </c>
      <c r="BI467" s="5" t="str">
        <f>"2016"</f>
        <v>2016</v>
      </c>
      <c r="BJ467" s="5" t="str">
        <f>"нет"</f>
        <v>нет</v>
      </c>
      <c r="BK467" s="5" t="str">
        <f>""</f>
        <v/>
      </c>
      <c r="BL467" s="5" t="str">
        <f>""</f>
        <v/>
      </c>
      <c r="BM467" s="5" t="str">
        <f>""</f>
        <v/>
      </c>
      <c r="BN467" s="5" t="str">
        <f>"нет"</f>
        <v>нет</v>
      </c>
      <c r="BO467" s="5" t="str">
        <f>""</f>
        <v/>
      </c>
      <c r="BP467" s="5" t="str">
        <f>""</f>
        <v/>
      </c>
      <c r="BQ467" s="5" t="str">
        <f>""</f>
        <v/>
      </c>
      <c r="BR467" s="5" t="str">
        <f>""</f>
        <v/>
      </c>
      <c r="BS467" s="5" t="str">
        <f>"25,00"</f>
        <v>25,00</v>
      </c>
      <c r="BT467" s="5" t="str">
        <f>"2016"</f>
        <v>2016</v>
      </c>
      <c r="BU467" s="5" t="str">
        <f t="shared" si="689"/>
        <v>нет</v>
      </c>
      <c r="BV467" s="5" t="str">
        <f t="shared" si="720"/>
        <v>x</v>
      </c>
      <c r="BW467" s="5" t="str">
        <f t="shared" si="720"/>
        <v>x</v>
      </c>
      <c r="BX467" s="5" t="str">
        <f t="shared" si="720"/>
        <v>x</v>
      </c>
      <c r="BY467" s="5" t="str">
        <f>"да"</f>
        <v>да</v>
      </c>
      <c r="BZ467" s="5" t="str">
        <f>""</f>
        <v/>
      </c>
      <c r="CA467" s="5" t="str">
        <f>"25,00"</f>
        <v>25,00</v>
      </c>
      <c r="CB467" s="5" t="str">
        <f>"2020"</f>
        <v>2020</v>
      </c>
      <c r="CC467" s="5" t="str">
        <f>""</f>
        <v/>
      </c>
      <c r="CD467" s="5" t="str">
        <f>"25,00"</f>
        <v>25,00</v>
      </c>
      <c r="CE467" s="5" t="str">
        <f>"2016"</f>
        <v>2016</v>
      </c>
      <c r="CF467" s="5" t="str">
        <f>""</f>
        <v/>
      </c>
      <c r="CG467" s="5" t="str">
        <f>"25,00"</f>
        <v>25,00</v>
      </c>
      <c r="CH467" s="5" t="str">
        <f t="shared" ref="CH467:CH474" si="721">"2017"</f>
        <v>2017</v>
      </c>
      <c r="CI467" s="5" t="str">
        <f>"25,00"</f>
        <v>25,00</v>
      </c>
      <c r="CJ467" s="5" t="str">
        <f>"2021"</f>
        <v>2021</v>
      </c>
    </row>
    <row r="468" spans="1:88" ht="11.25" customHeight="1">
      <c r="A468" s="3" t="str">
        <f>"1.455"</f>
        <v>1.455</v>
      </c>
      <c r="B468" s="4" t="str">
        <f>"п. Плоское, улица. Школьная, д.7"</f>
        <v>п. Плоское, улица. Школьная, д.7</v>
      </c>
      <c r="C468" s="7" t="str">
        <f>"1980"</f>
        <v>1980</v>
      </c>
      <c r="D468" s="5" t="str">
        <f>""</f>
        <v/>
      </c>
      <c r="E468" s="5" t="str">
        <f>"30,00"</f>
        <v>30,00</v>
      </c>
      <c r="F468" s="5" t="str">
        <f>"2018"</f>
        <v>2018</v>
      </c>
      <c r="G468" s="5" t="str">
        <f>"нет"</f>
        <v>нет</v>
      </c>
      <c r="H468" s="5" t="str">
        <f>""</f>
        <v/>
      </c>
      <c r="I468" s="5" t="str">
        <f>""</f>
        <v/>
      </c>
      <c r="J468" s="5" t="str">
        <f>""</f>
        <v/>
      </c>
      <c r="K468" s="5" t="str">
        <f>"нет"</f>
        <v>нет</v>
      </c>
      <c r="L468" s="5" t="str">
        <f>""</f>
        <v/>
      </c>
      <c r="M468" s="5" t="str">
        <f>""</f>
        <v/>
      </c>
      <c r="N468" s="5" t="str">
        <f>""</f>
        <v/>
      </c>
      <c r="O468" s="8" t="str">
        <f>""</f>
        <v/>
      </c>
      <c r="P468" s="5" t="str">
        <f>"30,00"</f>
        <v>30,00</v>
      </c>
      <c r="Q468" s="5" t="str">
        <f>"2018"</f>
        <v>2018</v>
      </c>
      <c r="R468" s="5" t="str">
        <f>"нет"</f>
        <v>нет</v>
      </c>
      <c r="S468" s="5" t="str">
        <f>""</f>
        <v/>
      </c>
      <c r="T468" s="5" t="str">
        <f>""</f>
        <v/>
      </c>
      <c r="U468" s="5" t="str">
        <f>""</f>
        <v/>
      </c>
      <c r="V468" s="5" t="str">
        <f>"нет"</f>
        <v>нет</v>
      </c>
      <c r="W468" s="5" t="str">
        <f>""</f>
        <v/>
      </c>
      <c r="X468" s="5" t="str">
        <f>""</f>
        <v/>
      </c>
      <c r="Y468" s="9" t="str">
        <f>""</f>
        <v/>
      </c>
      <c r="Z468" s="5" t="str">
        <f>""</f>
        <v/>
      </c>
      <c r="AA468" s="5" t="str">
        <f>"30,00"</f>
        <v>30,00</v>
      </c>
      <c r="AB468" s="5" t="str">
        <f>"2019"</f>
        <v>2019</v>
      </c>
      <c r="AC468" s="5" t="str">
        <f>"нет"</f>
        <v>нет</v>
      </c>
      <c r="AD468" s="5" t="str">
        <f>""</f>
        <v/>
      </c>
      <c r="AE468" s="5" t="str">
        <f>""</f>
        <v/>
      </c>
      <c r="AF468" s="5" t="str">
        <f>""</f>
        <v/>
      </c>
      <c r="AG468" s="5" t="str">
        <f>"нет"</f>
        <v>нет</v>
      </c>
      <c r="AH468" s="5" t="str">
        <f>""</f>
        <v/>
      </c>
      <c r="AI468" s="5" t="str">
        <f>""</f>
        <v/>
      </c>
      <c r="AJ468" s="5" t="str">
        <f>""</f>
        <v/>
      </c>
      <c r="AK468" s="8" t="str">
        <f>""</f>
        <v/>
      </c>
      <c r="AL468" s="5" t="str">
        <f>"30,00"</f>
        <v>30,00</v>
      </c>
      <c r="AM468" s="5" t="str">
        <f>"2019"</f>
        <v>2019</v>
      </c>
      <c r="AN468" s="5" t="str">
        <f>"нет"</f>
        <v>нет</v>
      </c>
      <c r="AO468" s="5" t="str">
        <f>""</f>
        <v/>
      </c>
      <c r="AP468" s="5" t="str">
        <f>""</f>
        <v/>
      </c>
      <c r="AQ468" s="5" t="str">
        <f>""</f>
        <v/>
      </c>
      <c r="AR468" s="5" t="str">
        <f>"нет"</f>
        <v>нет</v>
      </c>
      <c r="AS468" s="5" t="str">
        <f>""</f>
        <v/>
      </c>
      <c r="AT468" s="5" t="str">
        <f>""</f>
        <v/>
      </c>
      <c r="AU468" s="5" t="str">
        <f>""</f>
        <v/>
      </c>
      <c r="AV468" s="5" t="str">
        <f>""</f>
        <v/>
      </c>
      <c r="AW468" s="5" t="str">
        <f>""</f>
        <v/>
      </c>
      <c r="AX468" s="5" t="str">
        <f>""</f>
        <v/>
      </c>
      <c r="AY468" s="5" t="str">
        <f>""</f>
        <v/>
      </c>
      <c r="AZ468" s="5" t="str">
        <f>""</f>
        <v/>
      </c>
      <c r="BA468" s="5" t="str">
        <f>""</f>
        <v/>
      </c>
      <c r="BB468" s="5" t="str">
        <f>""</f>
        <v/>
      </c>
      <c r="BC468" s="5" t="str">
        <f>""</f>
        <v/>
      </c>
      <c r="BD468" s="5" t="str">
        <f>""</f>
        <v/>
      </c>
      <c r="BE468" s="5" t="str">
        <f>""</f>
        <v/>
      </c>
      <c r="BF468" s="5" t="str">
        <f>""</f>
        <v/>
      </c>
      <c r="BG468" s="5" t="str">
        <f>""</f>
        <v/>
      </c>
      <c r="BH468" s="5" t="str">
        <f>"30,00"</f>
        <v>30,00</v>
      </c>
      <c r="BI468" s="5" t="str">
        <f>"2016"</f>
        <v>2016</v>
      </c>
      <c r="BJ468" s="5" t="str">
        <f>"нет"</f>
        <v>нет</v>
      </c>
      <c r="BK468" s="5" t="str">
        <f>""</f>
        <v/>
      </c>
      <c r="BL468" s="5" t="str">
        <f>""</f>
        <v/>
      </c>
      <c r="BM468" s="5" t="str">
        <f>""</f>
        <v/>
      </c>
      <c r="BN468" s="5" t="str">
        <f>"нет"</f>
        <v>нет</v>
      </c>
      <c r="BO468" s="5" t="str">
        <f>""</f>
        <v/>
      </c>
      <c r="BP468" s="5" t="str">
        <f>""</f>
        <v/>
      </c>
      <c r="BQ468" s="5" t="str">
        <f>""</f>
        <v/>
      </c>
      <c r="BR468" s="5" t="str">
        <f>""</f>
        <v/>
      </c>
      <c r="BS468" s="5" t="str">
        <f>"30,00"</f>
        <v>30,00</v>
      </c>
      <c r="BT468" s="5" t="str">
        <f>"2016"</f>
        <v>2016</v>
      </c>
      <c r="BU468" s="5" t="str">
        <f t="shared" si="689"/>
        <v>нет</v>
      </c>
      <c r="BV468" s="5" t="str">
        <f t="shared" si="720"/>
        <v>x</v>
      </c>
      <c r="BW468" s="5" t="str">
        <f t="shared" si="720"/>
        <v>x</v>
      </c>
      <c r="BX468" s="5" t="str">
        <f t="shared" si="720"/>
        <v>x</v>
      </c>
      <c r="BY468" s="5" t="str">
        <f>"да"</f>
        <v>да</v>
      </c>
      <c r="BZ468" s="5" t="str">
        <f>""</f>
        <v/>
      </c>
      <c r="CA468" s="5" t="str">
        <f>"30,00"</f>
        <v>30,00</v>
      </c>
      <c r="CB468" s="5" t="str">
        <f>"2020"</f>
        <v>2020</v>
      </c>
      <c r="CC468" s="5" t="str">
        <f>""</f>
        <v/>
      </c>
      <c r="CD468" s="5" t="str">
        <f>"30,00"</f>
        <v>30,00</v>
      </c>
      <c r="CE468" s="5" t="str">
        <f>"2020"</f>
        <v>2020</v>
      </c>
      <c r="CF468" s="5" t="str">
        <f>""</f>
        <v/>
      </c>
      <c r="CG468" s="5" t="str">
        <f>"30,00"</f>
        <v>30,00</v>
      </c>
      <c r="CH468" s="5" t="str">
        <f t="shared" si="721"/>
        <v>2017</v>
      </c>
      <c r="CI468" s="5" t="str">
        <f>"30,00"</f>
        <v>30,00</v>
      </c>
      <c r="CJ468" s="5" t="str">
        <f>"2020"</f>
        <v>2020</v>
      </c>
    </row>
    <row r="469" spans="1:88" ht="11.25" customHeight="1">
      <c r="A469" s="3" t="str">
        <f>"1.456"</f>
        <v>1.456</v>
      </c>
      <c r="B469" s="4" t="str">
        <f>"п/ст. Бакланка (Плосковское МО), ул. Заводская, д.1"</f>
        <v>п/ст. Бакланка (Плосковское МО), ул. Заводская, д.1</v>
      </c>
      <c r="C469" s="7" t="str">
        <f>"1949"</f>
        <v>1949</v>
      </c>
      <c r="D469" s="5" t="str">
        <f t="shared" ref="D469:N473" si="722">"х"</f>
        <v>х</v>
      </c>
      <c r="E469" s="5" t="str">
        <f t="shared" si="722"/>
        <v>х</v>
      </c>
      <c r="F469" s="5" t="str">
        <f t="shared" si="722"/>
        <v>х</v>
      </c>
      <c r="G469" s="5" t="str">
        <f t="shared" si="722"/>
        <v>х</v>
      </c>
      <c r="H469" s="5" t="str">
        <f t="shared" si="722"/>
        <v>х</v>
      </c>
      <c r="I469" s="5" t="str">
        <f t="shared" si="722"/>
        <v>х</v>
      </c>
      <c r="J469" s="5" t="str">
        <f t="shared" si="722"/>
        <v>х</v>
      </c>
      <c r="K469" s="5" t="str">
        <f t="shared" si="722"/>
        <v>х</v>
      </c>
      <c r="L469" s="5" t="str">
        <f t="shared" si="722"/>
        <v>х</v>
      </c>
      <c r="M469" s="5" t="str">
        <f t="shared" si="722"/>
        <v>х</v>
      </c>
      <c r="N469" s="5" t="str">
        <f t="shared" si="722"/>
        <v>х</v>
      </c>
      <c r="O469" s="8" t="str">
        <f>""</f>
        <v/>
      </c>
      <c r="P469" s="5" t="str">
        <f>""</f>
        <v/>
      </c>
      <c r="Q469" s="5" t="str">
        <f>""</f>
        <v/>
      </c>
      <c r="R469" s="5" t="str">
        <f>""</f>
        <v/>
      </c>
      <c r="S469" s="5" t="str">
        <f>""</f>
        <v/>
      </c>
      <c r="T469" s="5" t="str">
        <f>""</f>
        <v/>
      </c>
      <c r="U469" s="5" t="str">
        <f>""</f>
        <v/>
      </c>
      <c r="V469" s="5" t="str">
        <f>""</f>
        <v/>
      </c>
      <c r="W469" s="5" t="str">
        <f>""</f>
        <v/>
      </c>
      <c r="X469" s="5" t="str">
        <f>""</f>
        <v/>
      </c>
      <c r="Y469" s="9" t="str">
        <f>""</f>
        <v/>
      </c>
      <c r="Z469" s="5" t="str">
        <f t="shared" ref="Z469:AI471" si="723">"х"</f>
        <v>х</v>
      </c>
      <c r="AA469" s="5" t="str">
        <f t="shared" si="723"/>
        <v>х</v>
      </c>
      <c r="AB469" s="5" t="str">
        <f t="shared" si="723"/>
        <v>х</v>
      </c>
      <c r="AC469" s="5" t="str">
        <f t="shared" si="723"/>
        <v>х</v>
      </c>
      <c r="AD469" s="5" t="str">
        <f t="shared" si="723"/>
        <v>х</v>
      </c>
      <c r="AE469" s="5" t="str">
        <f t="shared" si="723"/>
        <v>х</v>
      </c>
      <c r="AF469" s="5" t="str">
        <f t="shared" si="723"/>
        <v>х</v>
      </c>
      <c r="AG469" s="5" t="str">
        <f t="shared" si="723"/>
        <v>х</v>
      </c>
      <c r="AH469" s="5" t="str">
        <f t="shared" si="723"/>
        <v>х</v>
      </c>
      <c r="AI469" s="5" t="str">
        <f t="shared" si="723"/>
        <v>х</v>
      </c>
      <c r="AJ469" s="5" t="str">
        <f t="shared" ref="AJ469:AS471" si="724">"х"</f>
        <v>х</v>
      </c>
      <c r="AK469" s="8" t="str">
        <f t="shared" si="724"/>
        <v>х</v>
      </c>
      <c r="AL469" s="5" t="str">
        <f t="shared" si="724"/>
        <v>х</v>
      </c>
      <c r="AM469" s="5" t="str">
        <f t="shared" si="724"/>
        <v>х</v>
      </c>
      <c r="AN469" s="5" t="str">
        <f t="shared" si="724"/>
        <v>х</v>
      </c>
      <c r="AO469" s="5" t="str">
        <f t="shared" si="724"/>
        <v>х</v>
      </c>
      <c r="AP469" s="5" t="str">
        <f t="shared" si="724"/>
        <v>х</v>
      </c>
      <c r="AQ469" s="5" t="str">
        <f t="shared" si="724"/>
        <v>х</v>
      </c>
      <c r="AR469" s="5" t="str">
        <f t="shared" si="724"/>
        <v>х</v>
      </c>
      <c r="AS469" s="5" t="str">
        <f t="shared" si="724"/>
        <v>х</v>
      </c>
      <c r="AT469" s="5" t="str">
        <f t="shared" ref="AT469:BC471" si="725">"х"</f>
        <v>х</v>
      </c>
      <c r="AU469" s="5" t="str">
        <f t="shared" si="725"/>
        <v>х</v>
      </c>
      <c r="AV469" s="5" t="str">
        <f t="shared" si="725"/>
        <v>х</v>
      </c>
      <c r="AW469" s="5" t="str">
        <f t="shared" si="725"/>
        <v>х</v>
      </c>
      <c r="AX469" s="5" t="str">
        <f t="shared" si="725"/>
        <v>х</v>
      </c>
      <c r="AY469" s="5" t="str">
        <f t="shared" si="725"/>
        <v>х</v>
      </c>
      <c r="AZ469" s="5" t="str">
        <f t="shared" si="725"/>
        <v>х</v>
      </c>
      <c r="BA469" s="5" t="str">
        <f t="shared" si="725"/>
        <v>х</v>
      </c>
      <c r="BB469" s="5" t="str">
        <f t="shared" si="725"/>
        <v>х</v>
      </c>
      <c r="BC469" s="5" t="str">
        <f t="shared" si="725"/>
        <v>х</v>
      </c>
      <c r="BD469" s="5" t="str">
        <f t="shared" ref="BD469:BQ471" si="726">"х"</f>
        <v>х</v>
      </c>
      <c r="BE469" s="5" t="str">
        <f t="shared" si="726"/>
        <v>х</v>
      </c>
      <c r="BF469" s="5" t="str">
        <f t="shared" si="726"/>
        <v>х</v>
      </c>
      <c r="BG469" s="5" t="str">
        <f t="shared" si="726"/>
        <v>х</v>
      </c>
      <c r="BH469" s="5" t="str">
        <f t="shared" si="726"/>
        <v>х</v>
      </c>
      <c r="BI469" s="5" t="str">
        <f t="shared" si="726"/>
        <v>х</v>
      </c>
      <c r="BJ469" s="5" t="str">
        <f t="shared" si="726"/>
        <v>х</v>
      </c>
      <c r="BK469" s="5" t="str">
        <f t="shared" si="726"/>
        <v>х</v>
      </c>
      <c r="BL469" s="5" t="str">
        <f t="shared" si="726"/>
        <v>х</v>
      </c>
      <c r="BM469" s="5" t="str">
        <f t="shared" si="726"/>
        <v>х</v>
      </c>
      <c r="BN469" s="5" t="str">
        <f t="shared" si="726"/>
        <v>х</v>
      </c>
      <c r="BO469" s="5" t="str">
        <f t="shared" si="726"/>
        <v>х</v>
      </c>
      <c r="BP469" s="5" t="str">
        <f t="shared" si="726"/>
        <v>х</v>
      </c>
      <c r="BQ469" s="5" t="str">
        <f t="shared" si="726"/>
        <v>х</v>
      </c>
      <c r="BR469" s="5" t="str">
        <f>""</f>
        <v/>
      </c>
      <c r="BS469" s="5" t="str">
        <f>"65,00"</f>
        <v>65,00</v>
      </c>
      <c r="BT469" s="5" t="str">
        <f t="shared" ref="BT469:BT474" si="727">"2017"</f>
        <v>2017</v>
      </c>
      <c r="BU469" s="5" t="str">
        <f t="shared" si="689"/>
        <v>нет</v>
      </c>
      <c r="BV469" s="5" t="str">
        <f t="shared" si="720"/>
        <v>x</v>
      </c>
      <c r="BW469" s="5" t="str">
        <f t="shared" si="720"/>
        <v>x</v>
      </c>
      <c r="BX469" s="5" t="str">
        <f t="shared" si="720"/>
        <v>x</v>
      </c>
      <c r="BY469" s="5" t="str">
        <f t="shared" ref="BY469:BY489" si="728">"нет"</f>
        <v>нет</v>
      </c>
      <c r="BZ469" s="5" t="str">
        <f t="shared" ref="BZ469:CB489" si="729">"x"</f>
        <v>x</v>
      </c>
      <c r="CA469" s="5" t="str">
        <f t="shared" si="729"/>
        <v>x</v>
      </c>
      <c r="CB469" s="5" t="str">
        <f t="shared" si="729"/>
        <v>x</v>
      </c>
      <c r="CC469" s="5" t="str">
        <f>""</f>
        <v/>
      </c>
      <c r="CD469" s="5" t="str">
        <f>"65,00"</f>
        <v>65,00</v>
      </c>
      <c r="CE469" s="5" t="str">
        <f t="shared" ref="CE469:CE474" si="730">"2017"</f>
        <v>2017</v>
      </c>
      <c r="CF469" s="5" t="str">
        <f>""</f>
        <v/>
      </c>
      <c r="CG469" s="5" t="str">
        <f>"65,00"</f>
        <v>65,00</v>
      </c>
      <c r="CH469" s="5" t="str">
        <f t="shared" si="721"/>
        <v>2017</v>
      </c>
      <c r="CI469" s="5" t="str">
        <f>"65,00"</f>
        <v>65,00</v>
      </c>
      <c r="CJ469" s="5" t="str">
        <f>"2015"</f>
        <v>2015</v>
      </c>
    </row>
    <row r="470" spans="1:88" ht="11.25" customHeight="1">
      <c r="A470" s="3" t="str">
        <f>"1.457"</f>
        <v>1.457</v>
      </c>
      <c r="B470" s="4" t="str">
        <f>"п/ст. Бакланка (Плосковское МО), ул. Заводская, д.10"</f>
        <v>п/ст. Бакланка (Плосковское МО), ул. Заводская, д.10</v>
      </c>
      <c r="C470" s="7" t="str">
        <f>"1940"</f>
        <v>1940</v>
      </c>
      <c r="D470" s="5" t="str">
        <f t="shared" si="722"/>
        <v>х</v>
      </c>
      <c r="E470" s="5" t="str">
        <f t="shared" si="722"/>
        <v>х</v>
      </c>
      <c r="F470" s="5" t="str">
        <f t="shared" si="722"/>
        <v>х</v>
      </c>
      <c r="G470" s="5" t="str">
        <f t="shared" si="722"/>
        <v>х</v>
      </c>
      <c r="H470" s="5" t="str">
        <f t="shared" si="722"/>
        <v>х</v>
      </c>
      <c r="I470" s="5" t="str">
        <f t="shared" si="722"/>
        <v>х</v>
      </c>
      <c r="J470" s="5" t="str">
        <f t="shared" si="722"/>
        <v>х</v>
      </c>
      <c r="K470" s="5" t="str">
        <f t="shared" si="722"/>
        <v>х</v>
      </c>
      <c r="L470" s="5" t="str">
        <f t="shared" si="722"/>
        <v>х</v>
      </c>
      <c r="M470" s="5" t="str">
        <f t="shared" si="722"/>
        <v>х</v>
      </c>
      <c r="N470" s="5" t="str">
        <f t="shared" si="722"/>
        <v>х</v>
      </c>
      <c r="O470" s="8" t="str">
        <f>""</f>
        <v/>
      </c>
      <c r="P470" s="5" t="str">
        <f>""</f>
        <v/>
      </c>
      <c r="Q470" s="5" t="str">
        <f>""</f>
        <v/>
      </c>
      <c r="R470" s="5" t="str">
        <f>""</f>
        <v/>
      </c>
      <c r="S470" s="5" t="str">
        <f>""</f>
        <v/>
      </c>
      <c r="T470" s="5" t="str">
        <f>""</f>
        <v/>
      </c>
      <c r="U470" s="5" t="str">
        <f>""</f>
        <v/>
      </c>
      <c r="V470" s="5" t="str">
        <f>""</f>
        <v/>
      </c>
      <c r="W470" s="5" t="str">
        <f>""</f>
        <v/>
      </c>
      <c r="X470" s="5" t="str">
        <f>""</f>
        <v/>
      </c>
      <c r="Y470" s="9" t="str">
        <f>""</f>
        <v/>
      </c>
      <c r="Z470" s="5" t="str">
        <f t="shared" si="723"/>
        <v>х</v>
      </c>
      <c r="AA470" s="5" t="str">
        <f t="shared" si="723"/>
        <v>х</v>
      </c>
      <c r="AB470" s="5" t="str">
        <f t="shared" si="723"/>
        <v>х</v>
      </c>
      <c r="AC470" s="5" t="str">
        <f t="shared" si="723"/>
        <v>х</v>
      </c>
      <c r="AD470" s="5" t="str">
        <f t="shared" si="723"/>
        <v>х</v>
      </c>
      <c r="AE470" s="5" t="str">
        <f t="shared" si="723"/>
        <v>х</v>
      </c>
      <c r="AF470" s="5" t="str">
        <f t="shared" si="723"/>
        <v>х</v>
      </c>
      <c r="AG470" s="5" t="str">
        <f t="shared" si="723"/>
        <v>х</v>
      </c>
      <c r="AH470" s="5" t="str">
        <f t="shared" si="723"/>
        <v>х</v>
      </c>
      <c r="AI470" s="5" t="str">
        <f t="shared" si="723"/>
        <v>х</v>
      </c>
      <c r="AJ470" s="5" t="str">
        <f t="shared" si="724"/>
        <v>х</v>
      </c>
      <c r="AK470" s="8" t="str">
        <f t="shared" si="724"/>
        <v>х</v>
      </c>
      <c r="AL470" s="5" t="str">
        <f t="shared" si="724"/>
        <v>х</v>
      </c>
      <c r="AM470" s="5" t="str">
        <f t="shared" si="724"/>
        <v>х</v>
      </c>
      <c r="AN470" s="5" t="str">
        <f t="shared" si="724"/>
        <v>х</v>
      </c>
      <c r="AO470" s="5" t="str">
        <f t="shared" si="724"/>
        <v>х</v>
      </c>
      <c r="AP470" s="5" t="str">
        <f t="shared" si="724"/>
        <v>х</v>
      </c>
      <c r="AQ470" s="5" t="str">
        <f t="shared" si="724"/>
        <v>х</v>
      </c>
      <c r="AR470" s="5" t="str">
        <f t="shared" si="724"/>
        <v>х</v>
      </c>
      <c r="AS470" s="5" t="str">
        <f t="shared" si="724"/>
        <v>х</v>
      </c>
      <c r="AT470" s="5" t="str">
        <f t="shared" si="725"/>
        <v>х</v>
      </c>
      <c r="AU470" s="5" t="str">
        <f t="shared" si="725"/>
        <v>х</v>
      </c>
      <c r="AV470" s="5" t="str">
        <f t="shared" si="725"/>
        <v>х</v>
      </c>
      <c r="AW470" s="5" t="str">
        <f t="shared" si="725"/>
        <v>х</v>
      </c>
      <c r="AX470" s="5" t="str">
        <f t="shared" si="725"/>
        <v>х</v>
      </c>
      <c r="AY470" s="5" t="str">
        <f t="shared" si="725"/>
        <v>х</v>
      </c>
      <c r="AZ470" s="5" t="str">
        <f t="shared" si="725"/>
        <v>х</v>
      </c>
      <c r="BA470" s="5" t="str">
        <f t="shared" si="725"/>
        <v>х</v>
      </c>
      <c r="BB470" s="5" t="str">
        <f t="shared" si="725"/>
        <v>х</v>
      </c>
      <c r="BC470" s="5" t="str">
        <f t="shared" si="725"/>
        <v>х</v>
      </c>
      <c r="BD470" s="5" t="str">
        <f t="shared" si="726"/>
        <v>х</v>
      </c>
      <c r="BE470" s="5" t="str">
        <f t="shared" si="726"/>
        <v>х</v>
      </c>
      <c r="BF470" s="5" t="str">
        <f t="shared" si="726"/>
        <v>х</v>
      </c>
      <c r="BG470" s="5" t="str">
        <f t="shared" si="726"/>
        <v>х</v>
      </c>
      <c r="BH470" s="5" t="str">
        <f t="shared" si="726"/>
        <v>х</v>
      </c>
      <c r="BI470" s="5" t="str">
        <f t="shared" si="726"/>
        <v>х</v>
      </c>
      <c r="BJ470" s="5" t="str">
        <f t="shared" si="726"/>
        <v>х</v>
      </c>
      <c r="BK470" s="5" t="str">
        <f t="shared" si="726"/>
        <v>х</v>
      </c>
      <c r="BL470" s="5" t="str">
        <f t="shared" si="726"/>
        <v>х</v>
      </c>
      <c r="BM470" s="5" t="str">
        <f t="shared" si="726"/>
        <v>х</v>
      </c>
      <c r="BN470" s="5" t="str">
        <f t="shared" si="726"/>
        <v>х</v>
      </c>
      <c r="BO470" s="5" t="str">
        <f t="shared" si="726"/>
        <v>х</v>
      </c>
      <c r="BP470" s="5" t="str">
        <f t="shared" si="726"/>
        <v>х</v>
      </c>
      <c r="BQ470" s="5" t="str">
        <f t="shared" si="726"/>
        <v>х</v>
      </c>
      <c r="BR470" s="5" t="str">
        <f>""</f>
        <v/>
      </c>
      <c r="BS470" s="5" t="str">
        <f>"65,00"</f>
        <v>65,00</v>
      </c>
      <c r="BT470" s="5" t="str">
        <f t="shared" si="727"/>
        <v>2017</v>
      </c>
      <c r="BU470" s="5" t="str">
        <f t="shared" si="689"/>
        <v>нет</v>
      </c>
      <c r="BV470" s="5" t="str">
        <f t="shared" si="720"/>
        <v>x</v>
      </c>
      <c r="BW470" s="5" t="str">
        <f t="shared" si="720"/>
        <v>x</v>
      </c>
      <c r="BX470" s="5" t="str">
        <f t="shared" si="720"/>
        <v>x</v>
      </c>
      <c r="BY470" s="5" t="str">
        <f t="shared" si="728"/>
        <v>нет</v>
      </c>
      <c r="BZ470" s="5" t="str">
        <f t="shared" si="729"/>
        <v>x</v>
      </c>
      <c r="CA470" s="5" t="str">
        <f t="shared" si="729"/>
        <v>x</v>
      </c>
      <c r="CB470" s="5" t="str">
        <f t="shared" si="729"/>
        <v>x</v>
      </c>
      <c r="CC470" s="5" t="str">
        <f>""</f>
        <v/>
      </c>
      <c r="CD470" s="5" t="str">
        <f>"65,00"</f>
        <v>65,00</v>
      </c>
      <c r="CE470" s="5" t="str">
        <f t="shared" si="730"/>
        <v>2017</v>
      </c>
      <c r="CF470" s="5" t="str">
        <f>""</f>
        <v/>
      </c>
      <c r="CG470" s="5" t="str">
        <f>"65,00"</f>
        <v>65,00</v>
      </c>
      <c r="CH470" s="5" t="str">
        <f t="shared" si="721"/>
        <v>2017</v>
      </c>
      <c r="CI470" s="5" t="str">
        <f>"65,00"</f>
        <v>65,00</v>
      </c>
      <c r="CJ470" s="5" t="str">
        <f>"2015"</f>
        <v>2015</v>
      </c>
    </row>
    <row r="471" spans="1:88" ht="11.25" customHeight="1">
      <c r="A471" s="3" t="str">
        <f>"1.458"</f>
        <v>1.458</v>
      </c>
      <c r="B471" s="4" t="str">
        <f>"п/ст. Бакланка (Плосковское МО), ул. Заводская, д.12"</f>
        <v>п/ст. Бакланка (Плосковское МО), ул. Заводская, д.12</v>
      </c>
      <c r="C471" s="7" t="str">
        <f>"1952"</f>
        <v>1952</v>
      </c>
      <c r="D471" s="5" t="str">
        <f t="shared" si="722"/>
        <v>х</v>
      </c>
      <c r="E471" s="5" t="str">
        <f t="shared" si="722"/>
        <v>х</v>
      </c>
      <c r="F471" s="5" t="str">
        <f t="shared" si="722"/>
        <v>х</v>
      </c>
      <c r="G471" s="5" t="str">
        <f t="shared" si="722"/>
        <v>х</v>
      </c>
      <c r="H471" s="5" t="str">
        <f t="shared" si="722"/>
        <v>х</v>
      </c>
      <c r="I471" s="5" t="str">
        <f t="shared" si="722"/>
        <v>х</v>
      </c>
      <c r="J471" s="5" t="str">
        <f t="shared" si="722"/>
        <v>х</v>
      </c>
      <c r="K471" s="5" t="str">
        <f t="shared" si="722"/>
        <v>х</v>
      </c>
      <c r="L471" s="5" t="str">
        <f t="shared" si="722"/>
        <v>х</v>
      </c>
      <c r="M471" s="5" t="str">
        <f t="shared" si="722"/>
        <v>х</v>
      </c>
      <c r="N471" s="5" t="str">
        <f t="shared" si="722"/>
        <v>х</v>
      </c>
      <c r="O471" s="8" t="str">
        <f>""</f>
        <v/>
      </c>
      <c r="P471" s="5" t="str">
        <f>""</f>
        <v/>
      </c>
      <c r="Q471" s="5" t="str">
        <f>""</f>
        <v/>
      </c>
      <c r="R471" s="5" t="str">
        <f>""</f>
        <v/>
      </c>
      <c r="S471" s="5" t="str">
        <f>""</f>
        <v/>
      </c>
      <c r="T471" s="5" t="str">
        <f>""</f>
        <v/>
      </c>
      <c r="U471" s="5" t="str">
        <f>""</f>
        <v/>
      </c>
      <c r="V471" s="5" t="str">
        <f>""</f>
        <v/>
      </c>
      <c r="W471" s="5" t="str">
        <f>""</f>
        <v/>
      </c>
      <c r="X471" s="5" t="str">
        <f>""</f>
        <v/>
      </c>
      <c r="Y471" s="9" t="str">
        <f>""</f>
        <v/>
      </c>
      <c r="Z471" s="5" t="str">
        <f t="shared" si="723"/>
        <v>х</v>
      </c>
      <c r="AA471" s="5" t="str">
        <f t="shared" si="723"/>
        <v>х</v>
      </c>
      <c r="AB471" s="5" t="str">
        <f t="shared" si="723"/>
        <v>х</v>
      </c>
      <c r="AC471" s="5" t="str">
        <f t="shared" si="723"/>
        <v>х</v>
      </c>
      <c r="AD471" s="5" t="str">
        <f t="shared" si="723"/>
        <v>х</v>
      </c>
      <c r="AE471" s="5" t="str">
        <f t="shared" si="723"/>
        <v>х</v>
      </c>
      <c r="AF471" s="5" t="str">
        <f t="shared" si="723"/>
        <v>х</v>
      </c>
      <c r="AG471" s="5" t="str">
        <f t="shared" si="723"/>
        <v>х</v>
      </c>
      <c r="AH471" s="5" t="str">
        <f t="shared" si="723"/>
        <v>х</v>
      </c>
      <c r="AI471" s="5" t="str">
        <f t="shared" si="723"/>
        <v>х</v>
      </c>
      <c r="AJ471" s="5" t="str">
        <f t="shared" si="724"/>
        <v>х</v>
      </c>
      <c r="AK471" s="8" t="str">
        <f t="shared" si="724"/>
        <v>х</v>
      </c>
      <c r="AL471" s="5" t="str">
        <f t="shared" si="724"/>
        <v>х</v>
      </c>
      <c r="AM471" s="5" t="str">
        <f t="shared" si="724"/>
        <v>х</v>
      </c>
      <c r="AN471" s="5" t="str">
        <f t="shared" si="724"/>
        <v>х</v>
      </c>
      <c r="AO471" s="5" t="str">
        <f t="shared" si="724"/>
        <v>х</v>
      </c>
      <c r="AP471" s="5" t="str">
        <f t="shared" si="724"/>
        <v>х</v>
      </c>
      <c r="AQ471" s="5" t="str">
        <f t="shared" si="724"/>
        <v>х</v>
      </c>
      <c r="AR471" s="5" t="str">
        <f t="shared" si="724"/>
        <v>х</v>
      </c>
      <c r="AS471" s="5" t="str">
        <f t="shared" si="724"/>
        <v>х</v>
      </c>
      <c r="AT471" s="5" t="str">
        <f t="shared" si="725"/>
        <v>х</v>
      </c>
      <c r="AU471" s="5" t="str">
        <f t="shared" si="725"/>
        <v>х</v>
      </c>
      <c r="AV471" s="5" t="str">
        <f t="shared" si="725"/>
        <v>х</v>
      </c>
      <c r="AW471" s="5" t="str">
        <f t="shared" si="725"/>
        <v>х</v>
      </c>
      <c r="AX471" s="5" t="str">
        <f t="shared" si="725"/>
        <v>х</v>
      </c>
      <c r="AY471" s="5" t="str">
        <f t="shared" si="725"/>
        <v>х</v>
      </c>
      <c r="AZ471" s="5" t="str">
        <f t="shared" si="725"/>
        <v>х</v>
      </c>
      <c r="BA471" s="5" t="str">
        <f t="shared" si="725"/>
        <v>х</v>
      </c>
      <c r="BB471" s="5" t="str">
        <f t="shared" si="725"/>
        <v>х</v>
      </c>
      <c r="BC471" s="5" t="str">
        <f t="shared" si="725"/>
        <v>х</v>
      </c>
      <c r="BD471" s="5" t="str">
        <f t="shared" si="726"/>
        <v>х</v>
      </c>
      <c r="BE471" s="5" t="str">
        <f t="shared" si="726"/>
        <v>х</v>
      </c>
      <c r="BF471" s="5" t="str">
        <f t="shared" si="726"/>
        <v>х</v>
      </c>
      <c r="BG471" s="5" t="str">
        <f t="shared" si="726"/>
        <v>х</v>
      </c>
      <c r="BH471" s="5" t="str">
        <f t="shared" si="726"/>
        <v>х</v>
      </c>
      <c r="BI471" s="5" t="str">
        <f t="shared" si="726"/>
        <v>х</v>
      </c>
      <c r="BJ471" s="5" t="str">
        <f t="shared" si="726"/>
        <v>х</v>
      </c>
      <c r="BK471" s="5" t="str">
        <f t="shared" si="726"/>
        <v>х</v>
      </c>
      <c r="BL471" s="5" t="str">
        <f t="shared" si="726"/>
        <v>х</v>
      </c>
      <c r="BM471" s="5" t="str">
        <f t="shared" si="726"/>
        <v>х</v>
      </c>
      <c r="BN471" s="5" t="str">
        <f t="shared" si="726"/>
        <v>х</v>
      </c>
      <c r="BO471" s="5" t="str">
        <f t="shared" si="726"/>
        <v>х</v>
      </c>
      <c r="BP471" s="5" t="str">
        <f t="shared" si="726"/>
        <v>х</v>
      </c>
      <c r="BQ471" s="5" t="str">
        <f t="shared" si="726"/>
        <v>х</v>
      </c>
      <c r="BR471" s="5" t="str">
        <f>""</f>
        <v/>
      </c>
      <c r="BS471" s="5" t="str">
        <f>"65,00"</f>
        <v>65,00</v>
      </c>
      <c r="BT471" s="5" t="str">
        <f t="shared" si="727"/>
        <v>2017</v>
      </c>
      <c r="BU471" s="5" t="str">
        <f t="shared" si="689"/>
        <v>нет</v>
      </c>
      <c r="BV471" s="5" t="str">
        <f t="shared" si="720"/>
        <v>x</v>
      </c>
      <c r="BW471" s="5" t="str">
        <f t="shared" si="720"/>
        <v>x</v>
      </c>
      <c r="BX471" s="5" t="str">
        <f t="shared" si="720"/>
        <v>x</v>
      </c>
      <c r="BY471" s="5" t="str">
        <f t="shared" si="728"/>
        <v>нет</v>
      </c>
      <c r="BZ471" s="5" t="str">
        <f t="shared" si="729"/>
        <v>x</v>
      </c>
      <c r="CA471" s="5" t="str">
        <f t="shared" si="729"/>
        <v>x</v>
      </c>
      <c r="CB471" s="5" t="str">
        <f t="shared" si="729"/>
        <v>x</v>
      </c>
      <c r="CC471" s="5" t="str">
        <f>""</f>
        <v/>
      </c>
      <c r="CD471" s="5" t="str">
        <f>"65,00"</f>
        <v>65,00</v>
      </c>
      <c r="CE471" s="5" t="str">
        <f t="shared" si="730"/>
        <v>2017</v>
      </c>
      <c r="CF471" s="5" t="str">
        <f>""</f>
        <v/>
      </c>
      <c r="CG471" s="5" t="str">
        <f>"65,00"</f>
        <v>65,00</v>
      </c>
      <c r="CH471" s="5" t="str">
        <f t="shared" si="721"/>
        <v>2017</v>
      </c>
      <c r="CI471" s="5" t="str">
        <f>"65,00"</f>
        <v>65,00</v>
      </c>
      <c r="CJ471" s="5" t="str">
        <f>"2015"</f>
        <v>2015</v>
      </c>
    </row>
    <row r="472" spans="1:88" ht="11.25" customHeight="1">
      <c r="A472" s="3" t="str">
        <f>"1.459"</f>
        <v>1.459</v>
      </c>
      <c r="B472" s="4" t="str">
        <f>"п/ст. Бакланка (Плосковское МО), улица. Заводская, д.43"</f>
        <v>п/ст. Бакланка (Плосковское МО), улица. Заводская, д.43</v>
      </c>
      <c r="C472" s="7" t="str">
        <f>"1934"</f>
        <v>1934</v>
      </c>
      <c r="D472" s="5" t="str">
        <f t="shared" si="722"/>
        <v>х</v>
      </c>
      <c r="E472" s="5" t="str">
        <f t="shared" si="722"/>
        <v>х</v>
      </c>
      <c r="F472" s="5" t="str">
        <f t="shared" si="722"/>
        <v>х</v>
      </c>
      <c r="G472" s="5" t="str">
        <f t="shared" si="722"/>
        <v>х</v>
      </c>
      <c r="H472" s="5" t="str">
        <f t="shared" si="722"/>
        <v>х</v>
      </c>
      <c r="I472" s="5" t="str">
        <f t="shared" si="722"/>
        <v>х</v>
      </c>
      <c r="J472" s="5" t="str">
        <f t="shared" si="722"/>
        <v>х</v>
      </c>
      <c r="K472" s="5" t="str">
        <f t="shared" si="722"/>
        <v>х</v>
      </c>
      <c r="L472" s="5" t="str">
        <f t="shared" si="722"/>
        <v>х</v>
      </c>
      <c r="M472" s="5" t="str">
        <f t="shared" si="722"/>
        <v>х</v>
      </c>
      <c r="N472" s="5" t="str">
        <f t="shared" si="722"/>
        <v>х</v>
      </c>
      <c r="O472" s="8" t="str">
        <f>""</f>
        <v/>
      </c>
      <c r="P472" s="5" t="str">
        <f>""</f>
        <v/>
      </c>
      <c r="Q472" s="5" t="str">
        <f>""</f>
        <v/>
      </c>
      <c r="R472" s="5" t="str">
        <f>""</f>
        <v/>
      </c>
      <c r="S472" s="5" t="str">
        <f>""</f>
        <v/>
      </c>
      <c r="T472" s="5" t="str">
        <f>""</f>
        <v/>
      </c>
      <c r="U472" s="5" t="str">
        <f>""</f>
        <v/>
      </c>
      <c r="V472" s="5" t="str">
        <f>""</f>
        <v/>
      </c>
      <c r="W472" s="5" t="str">
        <f>""</f>
        <v/>
      </c>
      <c r="X472" s="5" t="str">
        <f>""</f>
        <v/>
      </c>
      <c r="Y472" s="9" t="str">
        <f>""</f>
        <v/>
      </c>
      <c r="Z472" s="5" t="str">
        <f>""</f>
        <v/>
      </c>
      <c r="AA472" s="5" t="str">
        <f>""</f>
        <v/>
      </c>
      <c r="AB472" s="5" t="str">
        <f>""</f>
        <v/>
      </c>
      <c r="AC472" s="5" t="str">
        <f>""</f>
        <v/>
      </c>
      <c r="AD472" s="5" t="str">
        <f>""</f>
        <v/>
      </c>
      <c r="AE472" s="5" t="str">
        <f>""</f>
        <v/>
      </c>
      <c r="AF472" s="5" t="str">
        <f>""</f>
        <v/>
      </c>
      <c r="AG472" s="5" t="str">
        <f>""</f>
        <v/>
      </c>
      <c r="AH472" s="5" t="str">
        <f>""</f>
        <v/>
      </c>
      <c r="AI472" s="5" t="str">
        <f>""</f>
        <v/>
      </c>
      <c r="AJ472" s="5" t="str">
        <f>""</f>
        <v/>
      </c>
      <c r="AK472" s="8" t="str">
        <f t="shared" ref="AK472:AT480" si="731">"х"</f>
        <v>х</v>
      </c>
      <c r="AL472" s="5" t="str">
        <f t="shared" si="731"/>
        <v>х</v>
      </c>
      <c r="AM472" s="5" t="str">
        <f t="shared" si="731"/>
        <v>х</v>
      </c>
      <c r="AN472" s="5" t="str">
        <f t="shared" si="731"/>
        <v>х</v>
      </c>
      <c r="AO472" s="5" t="str">
        <f t="shared" si="731"/>
        <v>х</v>
      </c>
      <c r="AP472" s="5" t="str">
        <f t="shared" si="731"/>
        <v>х</v>
      </c>
      <c r="AQ472" s="5" t="str">
        <f t="shared" si="731"/>
        <v>х</v>
      </c>
      <c r="AR472" s="5" t="str">
        <f t="shared" si="731"/>
        <v>х</v>
      </c>
      <c r="AS472" s="5" t="str">
        <f t="shared" si="731"/>
        <v>х</v>
      </c>
      <c r="AT472" s="5" t="str">
        <f t="shared" si="731"/>
        <v>х</v>
      </c>
      <c r="AU472" s="5" t="str">
        <f t="shared" ref="AU472:BD480" si="732">"х"</f>
        <v>х</v>
      </c>
      <c r="AV472" s="5" t="str">
        <f t="shared" si="732"/>
        <v>х</v>
      </c>
      <c r="AW472" s="5" t="str">
        <f t="shared" si="732"/>
        <v>х</v>
      </c>
      <c r="AX472" s="5" t="str">
        <f t="shared" si="732"/>
        <v>х</v>
      </c>
      <c r="AY472" s="5" t="str">
        <f t="shared" si="732"/>
        <v>х</v>
      </c>
      <c r="AZ472" s="5" t="str">
        <f t="shared" si="732"/>
        <v>х</v>
      </c>
      <c r="BA472" s="5" t="str">
        <f t="shared" si="732"/>
        <v>х</v>
      </c>
      <c r="BB472" s="5" t="str">
        <f t="shared" si="732"/>
        <v>х</v>
      </c>
      <c r="BC472" s="5" t="str">
        <f t="shared" si="732"/>
        <v>х</v>
      </c>
      <c r="BD472" s="5" t="str">
        <f t="shared" si="732"/>
        <v>х</v>
      </c>
      <c r="BE472" s="5" t="str">
        <f t="shared" ref="BE472:BQ480" si="733">"х"</f>
        <v>х</v>
      </c>
      <c r="BF472" s="5" t="str">
        <f t="shared" si="733"/>
        <v>х</v>
      </c>
      <c r="BG472" s="5" t="str">
        <f t="shared" si="733"/>
        <v>х</v>
      </c>
      <c r="BH472" s="5" t="str">
        <f t="shared" si="733"/>
        <v>х</v>
      </c>
      <c r="BI472" s="5" t="str">
        <f t="shared" si="733"/>
        <v>х</v>
      </c>
      <c r="BJ472" s="5" t="str">
        <f t="shared" si="733"/>
        <v>х</v>
      </c>
      <c r="BK472" s="5" t="str">
        <f t="shared" si="733"/>
        <v>х</v>
      </c>
      <c r="BL472" s="5" t="str">
        <f t="shared" si="733"/>
        <v>х</v>
      </c>
      <c r="BM472" s="5" t="str">
        <f t="shared" si="733"/>
        <v>х</v>
      </c>
      <c r="BN472" s="5" t="str">
        <f t="shared" si="733"/>
        <v>х</v>
      </c>
      <c r="BO472" s="5" t="str">
        <f t="shared" si="733"/>
        <v>х</v>
      </c>
      <c r="BP472" s="5" t="str">
        <f t="shared" si="733"/>
        <v>х</v>
      </c>
      <c r="BQ472" s="5" t="str">
        <f t="shared" si="733"/>
        <v>х</v>
      </c>
      <c r="BR472" s="5" t="str">
        <f>""</f>
        <v/>
      </c>
      <c r="BS472" s="5" t="str">
        <f>"65,00"</f>
        <v>65,00</v>
      </c>
      <c r="BT472" s="5" t="str">
        <f t="shared" si="727"/>
        <v>2017</v>
      </c>
      <c r="BU472" s="5" t="str">
        <f t="shared" si="689"/>
        <v>нет</v>
      </c>
      <c r="BV472" s="5" t="str">
        <f t="shared" si="720"/>
        <v>x</v>
      </c>
      <c r="BW472" s="5" t="str">
        <f t="shared" si="720"/>
        <v>x</v>
      </c>
      <c r="BX472" s="5" t="str">
        <f t="shared" si="720"/>
        <v>x</v>
      </c>
      <c r="BY472" s="5" t="str">
        <f t="shared" si="728"/>
        <v>нет</v>
      </c>
      <c r="BZ472" s="5" t="str">
        <f t="shared" si="729"/>
        <v>x</v>
      </c>
      <c r="CA472" s="5" t="str">
        <f t="shared" si="729"/>
        <v>x</v>
      </c>
      <c r="CB472" s="5" t="str">
        <f t="shared" si="729"/>
        <v>x</v>
      </c>
      <c r="CC472" s="5" t="str">
        <f>""</f>
        <v/>
      </c>
      <c r="CD472" s="5" t="str">
        <f>"65,00"</f>
        <v>65,00</v>
      </c>
      <c r="CE472" s="5" t="str">
        <f t="shared" si="730"/>
        <v>2017</v>
      </c>
      <c r="CF472" s="5" t="str">
        <f>""</f>
        <v/>
      </c>
      <c r="CG472" s="5" t="str">
        <f>"65,00"</f>
        <v>65,00</v>
      </c>
      <c r="CH472" s="5" t="str">
        <f t="shared" si="721"/>
        <v>2017</v>
      </c>
      <c r="CI472" s="5" t="str">
        <f>"65,00"</f>
        <v>65,00</v>
      </c>
      <c r="CJ472" s="5" t="str">
        <f>"2016"</f>
        <v>2016</v>
      </c>
    </row>
    <row r="473" spans="1:88" ht="11.25" customHeight="1">
      <c r="A473" s="3" t="str">
        <f>"1.460"</f>
        <v>1.460</v>
      </c>
      <c r="B473" s="4" t="str">
        <f>"п/ст. Бакланка (Плосковское МО), улица. Привокзальная, д.20"</f>
        <v>п/ст. Бакланка (Плосковское МО), улица. Привокзальная, д.20</v>
      </c>
      <c r="C473" s="7" t="str">
        <f>"1871"</f>
        <v>1871</v>
      </c>
      <c r="D473" s="5" t="str">
        <f t="shared" si="722"/>
        <v>х</v>
      </c>
      <c r="E473" s="5" t="str">
        <f t="shared" si="722"/>
        <v>х</v>
      </c>
      <c r="F473" s="5" t="str">
        <f t="shared" si="722"/>
        <v>х</v>
      </c>
      <c r="G473" s="5" t="str">
        <f t="shared" si="722"/>
        <v>х</v>
      </c>
      <c r="H473" s="5" t="str">
        <f t="shared" si="722"/>
        <v>х</v>
      </c>
      <c r="I473" s="5" t="str">
        <f t="shared" si="722"/>
        <v>х</v>
      </c>
      <c r="J473" s="5" t="str">
        <f t="shared" si="722"/>
        <v>х</v>
      </c>
      <c r="K473" s="5" t="str">
        <f t="shared" si="722"/>
        <v>х</v>
      </c>
      <c r="L473" s="5" t="str">
        <f t="shared" si="722"/>
        <v>х</v>
      </c>
      <c r="M473" s="5" t="str">
        <f t="shared" si="722"/>
        <v>х</v>
      </c>
      <c r="N473" s="5" t="str">
        <f t="shared" si="722"/>
        <v>х</v>
      </c>
      <c r="O473" s="8" t="str">
        <f>""</f>
        <v/>
      </c>
      <c r="P473" s="5" t="str">
        <f>""</f>
        <v/>
      </c>
      <c r="Q473" s="5" t="str">
        <f>""</f>
        <v/>
      </c>
      <c r="R473" s="5" t="str">
        <f>""</f>
        <v/>
      </c>
      <c r="S473" s="5" t="str">
        <f>""</f>
        <v/>
      </c>
      <c r="T473" s="5" t="str">
        <f>""</f>
        <v/>
      </c>
      <c r="U473" s="5" t="str">
        <f>""</f>
        <v/>
      </c>
      <c r="V473" s="5" t="str">
        <f>""</f>
        <v/>
      </c>
      <c r="W473" s="5" t="str">
        <f>""</f>
        <v/>
      </c>
      <c r="X473" s="5" t="str">
        <f>""</f>
        <v/>
      </c>
      <c r="Y473" s="9" t="str">
        <f>""</f>
        <v/>
      </c>
      <c r="Z473" s="5" t="str">
        <f>""</f>
        <v/>
      </c>
      <c r="AA473" s="5" t="str">
        <f>""</f>
        <v/>
      </c>
      <c r="AB473" s="5" t="str">
        <f>""</f>
        <v/>
      </c>
      <c r="AC473" s="5" t="str">
        <f>""</f>
        <v/>
      </c>
      <c r="AD473" s="5" t="str">
        <f>""</f>
        <v/>
      </c>
      <c r="AE473" s="5" t="str">
        <f>""</f>
        <v/>
      </c>
      <c r="AF473" s="5" t="str">
        <f>""</f>
        <v/>
      </c>
      <c r="AG473" s="5" t="str">
        <f>""</f>
        <v/>
      </c>
      <c r="AH473" s="5" t="str">
        <f>""</f>
        <v/>
      </c>
      <c r="AI473" s="5" t="str">
        <f>""</f>
        <v/>
      </c>
      <c r="AJ473" s="5" t="str">
        <f>""</f>
        <v/>
      </c>
      <c r="AK473" s="8" t="str">
        <f t="shared" si="731"/>
        <v>х</v>
      </c>
      <c r="AL473" s="5" t="str">
        <f t="shared" si="731"/>
        <v>х</v>
      </c>
      <c r="AM473" s="5" t="str">
        <f t="shared" si="731"/>
        <v>х</v>
      </c>
      <c r="AN473" s="5" t="str">
        <f t="shared" si="731"/>
        <v>х</v>
      </c>
      <c r="AO473" s="5" t="str">
        <f t="shared" si="731"/>
        <v>х</v>
      </c>
      <c r="AP473" s="5" t="str">
        <f t="shared" si="731"/>
        <v>х</v>
      </c>
      <c r="AQ473" s="5" t="str">
        <f t="shared" si="731"/>
        <v>х</v>
      </c>
      <c r="AR473" s="5" t="str">
        <f t="shared" si="731"/>
        <v>х</v>
      </c>
      <c r="AS473" s="5" t="str">
        <f t="shared" si="731"/>
        <v>х</v>
      </c>
      <c r="AT473" s="5" t="str">
        <f t="shared" si="731"/>
        <v>х</v>
      </c>
      <c r="AU473" s="5" t="str">
        <f t="shared" si="732"/>
        <v>х</v>
      </c>
      <c r="AV473" s="5" t="str">
        <f t="shared" si="732"/>
        <v>х</v>
      </c>
      <c r="AW473" s="5" t="str">
        <f t="shared" si="732"/>
        <v>х</v>
      </c>
      <c r="AX473" s="5" t="str">
        <f t="shared" si="732"/>
        <v>х</v>
      </c>
      <c r="AY473" s="5" t="str">
        <f t="shared" si="732"/>
        <v>х</v>
      </c>
      <c r="AZ473" s="5" t="str">
        <f t="shared" si="732"/>
        <v>х</v>
      </c>
      <c r="BA473" s="5" t="str">
        <f t="shared" si="732"/>
        <v>х</v>
      </c>
      <c r="BB473" s="5" t="str">
        <f t="shared" si="732"/>
        <v>х</v>
      </c>
      <c r="BC473" s="5" t="str">
        <f t="shared" si="732"/>
        <v>х</v>
      </c>
      <c r="BD473" s="5" t="str">
        <f t="shared" si="732"/>
        <v>х</v>
      </c>
      <c r="BE473" s="5" t="str">
        <f t="shared" si="733"/>
        <v>х</v>
      </c>
      <c r="BF473" s="5" t="str">
        <f t="shared" si="733"/>
        <v>х</v>
      </c>
      <c r="BG473" s="5" t="str">
        <f t="shared" si="733"/>
        <v>х</v>
      </c>
      <c r="BH473" s="5" t="str">
        <f t="shared" si="733"/>
        <v>х</v>
      </c>
      <c r="BI473" s="5" t="str">
        <f t="shared" si="733"/>
        <v>х</v>
      </c>
      <c r="BJ473" s="5" t="str">
        <f t="shared" si="733"/>
        <v>х</v>
      </c>
      <c r="BK473" s="5" t="str">
        <f t="shared" si="733"/>
        <v>х</v>
      </c>
      <c r="BL473" s="5" t="str">
        <f t="shared" si="733"/>
        <v>х</v>
      </c>
      <c r="BM473" s="5" t="str">
        <f t="shared" si="733"/>
        <v>х</v>
      </c>
      <c r="BN473" s="5" t="str">
        <f t="shared" si="733"/>
        <v>х</v>
      </c>
      <c r="BO473" s="5" t="str">
        <f t="shared" si="733"/>
        <v>х</v>
      </c>
      <c r="BP473" s="5" t="str">
        <f t="shared" si="733"/>
        <v>х</v>
      </c>
      <c r="BQ473" s="5" t="str">
        <f t="shared" si="733"/>
        <v>х</v>
      </c>
      <c r="BR473" s="5" t="str">
        <f>""</f>
        <v/>
      </c>
      <c r="BS473" s="5" t="str">
        <f>"65,00"</f>
        <v>65,00</v>
      </c>
      <c r="BT473" s="5" t="str">
        <f t="shared" si="727"/>
        <v>2017</v>
      </c>
      <c r="BU473" s="5" t="str">
        <f t="shared" si="689"/>
        <v>нет</v>
      </c>
      <c r="BV473" s="5" t="str">
        <f t="shared" si="720"/>
        <v>x</v>
      </c>
      <c r="BW473" s="5" t="str">
        <f t="shared" si="720"/>
        <v>x</v>
      </c>
      <c r="BX473" s="5" t="str">
        <f t="shared" si="720"/>
        <v>x</v>
      </c>
      <c r="BY473" s="5" t="str">
        <f t="shared" si="728"/>
        <v>нет</v>
      </c>
      <c r="BZ473" s="5" t="str">
        <f t="shared" si="729"/>
        <v>x</v>
      </c>
      <c r="CA473" s="5" t="str">
        <f t="shared" si="729"/>
        <v>x</v>
      </c>
      <c r="CB473" s="5" t="str">
        <f t="shared" si="729"/>
        <v>x</v>
      </c>
      <c r="CC473" s="5" t="str">
        <f>""</f>
        <v/>
      </c>
      <c r="CD473" s="5" t="str">
        <f>"65,00"</f>
        <v>65,00</v>
      </c>
      <c r="CE473" s="5" t="str">
        <f t="shared" si="730"/>
        <v>2017</v>
      </c>
      <c r="CF473" s="5" t="str">
        <f>""</f>
        <v/>
      </c>
      <c r="CG473" s="5" t="str">
        <f>"65,00"</f>
        <v>65,00</v>
      </c>
      <c r="CH473" s="5" t="str">
        <f t="shared" si="721"/>
        <v>2017</v>
      </c>
      <c r="CI473" s="5" t="str">
        <f>"65,00"</f>
        <v>65,00</v>
      </c>
      <c r="CJ473" s="5" t="str">
        <f>"2016"</f>
        <v>2016</v>
      </c>
    </row>
    <row r="474" spans="1:88" ht="11.25" customHeight="1">
      <c r="A474" s="3" t="str">
        <f>"1.461"</f>
        <v>1.461</v>
      </c>
      <c r="B474" s="4" t="str">
        <f>"п/ст. Лежа, ул. Железнодорожная, д.10"</f>
        <v>п/ст. Лежа, ул. Железнодорожная, д.10</v>
      </c>
      <c r="C474" s="7" t="str">
        <f>"1905"</f>
        <v>1905</v>
      </c>
      <c r="D474" s="5" t="str">
        <f>"1905"</f>
        <v>1905</v>
      </c>
      <c r="E474" s="5" t="str">
        <f>"60,00"</f>
        <v>60,00</v>
      </c>
      <c r="F474" s="5" t="str">
        <f>"2017"</f>
        <v>2017</v>
      </c>
      <c r="G474" s="5" t="str">
        <f>"нет"</f>
        <v>нет</v>
      </c>
      <c r="H474" s="5" t="str">
        <f>""</f>
        <v/>
      </c>
      <c r="I474" s="5" t="str">
        <f>""</f>
        <v/>
      </c>
      <c r="J474" s="5" t="str">
        <f>""</f>
        <v/>
      </c>
      <c r="K474" s="5" t="str">
        <f>"нет"</f>
        <v>нет</v>
      </c>
      <c r="L474" s="5" t="str">
        <f>""</f>
        <v/>
      </c>
      <c r="M474" s="5" t="str">
        <f>""</f>
        <v/>
      </c>
      <c r="N474" s="5" t="str">
        <f>""</f>
        <v/>
      </c>
      <c r="O474" s="8" t="str">
        <f t="shared" ref="O474:X477" si="734">"х"</f>
        <v>х</v>
      </c>
      <c r="P474" s="5" t="str">
        <f t="shared" si="734"/>
        <v>х</v>
      </c>
      <c r="Q474" s="5" t="str">
        <f t="shared" si="734"/>
        <v>х</v>
      </c>
      <c r="R474" s="5" t="str">
        <f t="shared" si="734"/>
        <v>х</v>
      </c>
      <c r="S474" s="5" t="str">
        <f t="shared" si="734"/>
        <v>х</v>
      </c>
      <c r="T474" s="5" t="str">
        <f t="shared" si="734"/>
        <v>х</v>
      </c>
      <c r="U474" s="5" t="str">
        <f t="shared" si="734"/>
        <v>х</v>
      </c>
      <c r="V474" s="5" t="str">
        <f t="shared" si="734"/>
        <v>х</v>
      </c>
      <c r="W474" s="5" t="str">
        <f t="shared" si="734"/>
        <v>х</v>
      </c>
      <c r="X474" s="5" t="str">
        <f t="shared" si="734"/>
        <v>х</v>
      </c>
      <c r="Y474" s="9" t="str">
        <f t="shared" ref="Y474:AJ477" si="735">"х"</f>
        <v>х</v>
      </c>
      <c r="Z474" s="5" t="str">
        <f t="shared" si="735"/>
        <v>х</v>
      </c>
      <c r="AA474" s="5" t="str">
        <f t="shared" si="735"/>
        <v>х</v>
      </c>
      <c r="AB474" s="5" t="str">
        <f t="shared" si="735"/>
        <v>х</v>
      </c>
      <c r="AC474" s="5" t="str">
        <f t="shared" si="735"/>
        <v>х</v>
      </c>
      <c r="AD474" s="5" t="str">
        <f t="shared" si="735"/>
        <v>х</v>
      </c>
      <c r="AE474" s="5" t="str">
        <f t="shared" si="735"/>
        <v>х</v>
      </c>
      <c r="AF474" s="5" t="str">
        <f t="shared" si="735"/>
        <v>х</v>
      </c>
      <c r="AG474" s="5" t="str">
        <f t="shared" si="735"/>
        <v>х</v>
      </c>
      <c r="AH474" s="5" t="str">
        <f t="shared" si="735"/>
        <v>х</v>
      </c>
      <c r="AI474" s="5" t="str">
        <f t="shared" si="735"/>
        <v>х</v>
      </c>
      <c r="AJ474" s="5" t="str">
        <f t="shared" si="735"/>
        <v>х</v>
      </c>
      <c r="AK474" s="8" t="str">
        <f t="shared" si="731"/>
        <v>х</v>
      </c>
      <c r="AL474" s="5" t="str">
        <f t="shared" si="731"/>
        <v>х</v>
      </c>
      <c r="AM474" s="5" t="str">
        <f t="shared" si="731"/>
        <v>х</v>
      </c>
      <c r="AN474" s="5" t="str">
        <f t="shared" si="731"/>
        <v>х</v>
      </c>
      <c r="AO474" s="5" t="str">
        <f t="shared" si="731"/>
        <v>х</v>
      </c>
      <c r="AP474" s="5" t="str">
        <f t="shared" si="731"/>
        <v>х</v>
      </c>
      <c r="AQ474" s="5" t="str">
        <f t="shared" si="731"/>
        <v>х</v>
      </c>
      <c r="AR474" s="5" t="str">
        <f t="shared" si="731"/>
        <v>х</v>
      </c>
      <c r="AS474" s="5" t="str">
        <f t="shared" si="731"/>
        <v>х</v>
      </c>
      <c r="AT474" s="5" t="str">
        <f t="shared" si="731"/>
        <v>х</v>
      </c>
      <c r="AU474" s="5" t="str">
        <f t="shared" si="732"/>
        <v>х</v>
      </c>
      <c r="AV474" s="5" t="str">
        <f t="shared" si="732"/>
        <v>х</v>
      </c>
      <c r="AW474" s="5" t="str">
        <f t="shared" si="732"/>
        <v>х</v>
      </c>
      <c r="AX474" s="5" t="str">
        <f t="shared" si="732"/>
        <v>х</v>
      </c>
      <c r="AY474" s="5" t="str">
        <f t="shared" si="732"/>
        <v>х</v>
      </c>
      <c r="AZ474" s="5" t="str">
        <f t="shared" si="732"/>
        <v>х</v>
      </c>
      <c r="BA474" s="5" t="str">
        <f t="shared" si="732"/>
        <v>х</v>
      </c>
      <c r="BB474" s="5" t="str">
        <f t="shared" si="732"/>
        <v>х</v>
      </c>
      <c r="BC474" s="5" t="str">
        <f t="shared" si="732"/>
        <v>х</v>
      </c>
      <c r="BD474" s="5" t="str">
        <f t="shared" si="732"/>
        <v>х</v>
      </c>
      <c r="BE474" s="5" t="str">
        <f t="shared" si="733"/>
        <v>х</v>
      </c>
      <c r="BF474" s="5" t="str">
        <f t="shared" si="733"/>
        <v>х</v>
      </c>
      <c r="BG474" s="5" t="str">
        <f t="shared" si="733"/>
        <v>х</v>
      </c>
      <c r="BH474" s="5" t="str">
        <f t="shared" si="733"/>
        <v>х</v>
      </c>
      <c r="BI474" s="5" t="str">
        <f t="shared" si="733"/>
        <v>х</v>
      </c>
      <c r="BJ474" s="5" t="str">
        <f t="shared" si="733"/>
        <v>х</v>
      </c>
      <c r="BK474" s="5" t="str">
        <f t="shared" si="733"/>
        <v>х</v>
      </c>
      <c r="BL474" s="5" t="str">
        <f t="shared" si="733"/>
        <v>х</v>
      </c>
      <c r="BM474" s="5" t="str">
        <f t="shared" si="733"/>
        <v>х</v>
      </c>
      <c r="BN474" s="5" t="str">
        <f t="shared" si="733"/>
        <v>х</v>
      </c>
      <c r="BO474" s="5" t="str">
        <f t="shared" si="733"/>
        <v>х</v>
      </c>
      <c r="BP474" s="5" t="str">
        <f t="shared" si="733"/>
        <v>х</v>
      </c>
      <c r="BQ474" s="5" t="str">
        <f t="shared" si="733"/>
        <v>х</v>
      </c>
      <c r="BR474" s="5" t="str">
        <f>"1905"</f>
        <v>1905</v>
      </c>
      <c r="BS474" s="5" t="str">
        <f>"60,00"</f>
        <v>60,00</v>
      </c>
      <c r="BT474" s="5" t="str">
        <f t="shared" si="727"/>
        <v>2017</v>
      </c>
      <c r="BU474" s="5" t="str">
        <f t="shared" si="689"/>
        <v>нет</v>
      </c>
      <c r="BV474" s="5" t="str">
        <f t="shared" si="720"/>
        <v>x</v>
      </c>
      <c r="BW474" s="5" t="str">
        <f t="shared" si="720"/>
        <v>x</v>
      </c>
      <c r="BX474" s="5" t="str">
        <f t="shared" si="720"/>
        <v>x</v>
      </c>
      <c r="BY474" s="5" t="str">
        <f t="shared" si="728"/>
        <v>нет</v>
      </c>
      <c r="BZ474" s="5" t="str">
        <f t="shared" si="729"/>
        <v>x</v>
      </c>
      <c r="CA474" s="5" t="str">
        <f t="shared" si="729"/>
        <v>x</v>
      </c>
      <c r="CB474" s="5" t="str">
        <f t="shared" si="729"/>
        <v>x</v>
      </c>
      <c r="CC474" s="5" t="str">
        <f>"1905"</f>
        <v>1905</v>
      </c>
      <c r="CD474" s="5" t="str">
        <f>"60,00"</f>
        <v>60,00</v>
      </c>
      <c r="CE474" s="5" t="str">
        <f t="shared" si="730"/>
        <v>2017</v>
      </c>
      <c r="CF474" s="5" t="str">
        <f>"1905"</f>
        <v>1905</v>
      </c>
      <c r="CG474" s="5" t="str">
        <f>"60,00"</f>
        <v>60,00</v>
      </c>
      <c r="CH474" s="5" t="str">
        <f t="shared" si="721"/>
        <v>2017</v>
      </c>
      <c r="CI474" s="5" t="str">
        <f>"51,00"</f>
        <v>51,00</v>
      </c>
      <c r="CJ474" s="5" t="str">
        <f>"2044"</f>
        <v>2044</v>
      </c>
    </row>
    <row r="475" spans="1:88" ht="11.25" customHeight="1">
      <c r="A475" s="3" t="str">
        <f>"1.462"</f>
        <v>1.462</v>
      </c>
      <c r="B475" s="4" t="str">
        <f>"п/ст. Лежа, ул. Железнодорожная, д.12"</f>
        <v>п/ст. Лежа, ул. Железнодорожная, д.12</v>
      </c>
      <c r="C475" s="7" t="str">
        <f>"1983"</f>
        <v>1983</v>
      </c>
      <c r="D475" s="5" t="str">
        <f t="shared" ref="D475:N475" si="736">"х"</f>
        <v>х</v>
      </c>
      <c r="E475" s="5" t="str">
        <f t="shared" si="736"/>
        <v>х</v>
      </c>
      <c r="F475" s="5" t="str">
        <f t="shared" si="736"/>
        <v>х</v>
      </c>
      <c r="G475" s="5" t="str">
        <f t="shared" si="736"/>
        <v>х</v>
      </c>
      <c r="H475" s="5" t="str">
        <f t="shared" si="736"/>
        <v>х</v>
      </c>
      <c r="I475" s="5" t="str">
        <f t="shared" si="736"/>
        <v>х</v>
      </c>
      <c r="J475" s="5" t="str">
        <f t="shared" si="736"/>
        <v>х</v>
      </c>
      <c r="K475" s="5" t="str">
        <f t="shared" si="736"/>
        <v>х</v>
      </c>
      <c r="L475" s="5" t="str">
        <f t="shared" si="736"/>
        <v>х</v>
      </c>
      <c r="M475" s="5" t="str">
        <f t="shared" si="736"/>
        <v>х</v>
      </c>
      <c r="N475" s="5" t="str">
        <f t="shared" si="736"/>
        <v>х</v>
      </c>
      <c r="O475" s="8" t="str">
        <f t="shared" si="734"/>
        <v>х</v>
      </c>
      <c r="P475" s="5" t="str">
        <f t="shared" si="734"/>
        <v>х</v>
      </c>
      <c r="Q475" s="5" t="str">
        <f t="shared" si="734"/>
        <v>х</v>
      </c>
      <c r="R475" s="5" t="str">
        <f t="shared" si="734"/>
        <v>х</v>
      </c>
      <c r="S475" s="5" t="str">
        <f t="shared" si="734"/>
        <v>х</v>
      </c>
      <c r="T475" s="5" t="str">
        <f t="shared" si="734"/>
        <v>х</v>
      </c>
      <c r="U475" s="5" t="str">
        <f t="shared" si="734"/>
        <v>х</v>
      </c>
      <c r="V475" s="5" t="str">
        <f t="shared" si="734"/>
        <v>х</v>
      </c>
      <c r="W475" s="5" t="str">
        <f t="shared" si="734"/>
        <v>х</v>
      </c>
      <c r="X475" s="5" t="str">
        <f t="shared" si="734"/>
        <v>х</v>
      </c>
      <c r="Y475" s="9" t="str">
        <f t="shared" si="735"/>
        <v>х</v>
      </c>
      <c r="Z475" s="5" t="str">
        <f t="shared" si="735"/>
        <v>х</v>
      </c>
      <c r="AA475" s="5" t="str">
        <f t="shared" si="735"/>
        <v>х</v>
      </c>
      <c r="AB475" s="5" t="str">
        <f t="shared" si="735"/>
        <v>х</v>
      </c>
      <c r="AC475" s="5" t="str">
        <f t="shared" si="735"/>
        <v>х</v>
      </c>
      <c r="AD475" s="5" t="str">
        <f t="shared" si="735"/>
        <v>х</v>
      </c>
      <c r="AE475" s="5" t="str">
        <f t="shared" si="735"/>
        <v>х</v>
      </c>
      <c r="AF475" s="5" t="str">
        <f t="shared" si="735"/>
        <v>х</v>
      </c>
      <c r="AG475" s="5" t="str">
        <f t="shared" si="735"/>
        <v>х</v>
      </c>
      <c r="AH475" s="5" t="str">
        <f t="shared" si="735"/>
        <v>х</v>
      </c>
      <c r="AI475" s="5" t="str">
        <f t="shared" si="735"/>
        <v>х</v>
      </c>
      <c r="AJ475" s="5" t="str">
        <f t="shared" si="735"/>
        <v>х</v>
      </c>
      <c r="AK475" s="8" t="str">
        <f t="shared" si="731"/>
        <v>х</v>
      </c>
      <c r="AL475" s="5" t="str">
        <f t="shared" si="731"/>
        <v>х</v>
      </c>
      <c r="AM475" s="5" t="str">
        <f t="shared" si="731"/>
        <v>х</v>
      </c>
      <c r="AN475" s="5" t="str">
        <f t="shared" si="731"/>
        <v>х</v>
      </c>
      <c r="AO475" s="5" t="str">
        <f t="shared" si="731"/>
        <v>х</v>
      </c>
      <c r="AP475" s="5" t="str">
        <f t="shared" si="731"/>
        <v>х</v>
      </c>
      <c r="AQ475" s="5" t="str">
        <f t="shared" si="731"/>
        <v>х</v>
      </c>
      <c r="AR475" s="5" t="str">
        <f t="shared" si="731"/>
        <v>х</v>
      </c>
      <c r="AS475" s="5" t="str">
        <f t="shared" si="731"/>
        <v>х</v>
      </c>
      <c r="AT475" s="5" t="str">
        <f t="shared" si="731"/>
        <v>х</v>
      </c>
      <c r="AU475" s="5" t="str">
        <f t="shared" si="732"/>
        <v>х</v>
      </c>
      <c r="AV475" s="5" t="str">
        <f t="shared" si="732"/>
        <v>х</v>
      </c>
      <c r="AW475" s="5" t="str">
        <f t="shared" si="732"/>
        <v>х</v>
      </c>
      <c r="AX475" s="5" t="str">
        <f t="shared" si="732"/>
        <v>х</v>
      </c>
      <c r="AY475" s="5" t="str">
        <f t="shared" si="732"/>
        <v>х</v>
      </c>
      <c r="AZ475" s="5" t="str">
        <f t="shared" si="732"/>
        <v>х</v>
      </c>
      <c r="BA475" s="5" t="str">
        <f t="shared" si="732"/>
        <v>х</v>
      </c>
      <c r="BB475" s="5" t="str">
        <f t="shared" si="732"/>
        <v>х</v>
      </c>
      <c r="BC475" s="5" t="str">
        <f t="shared" si="732"/>
        <v>х</v>
      </c>
      <c r="BD475" s="5" t="str">
        <f t="shared" si="732"/>
        <v>х</v>
      </c>
      <c r="BE475" s="5" t="str">
        <f t="shared" si="733"/>
        <v>х</v>
      </c>
      <c r="BF475" s="5" t="str">
        <f t="shared" si="733"/>
        <v>х</v>
      </c>
      <c r="BG475" s="5" t="str">
        <f t="shared" si="733"/>
        <v>х</v>
      </c>
      <c r="BH475" s="5" t="str">
        <f t="shared" si="733"/>
        <v>х</v>
      </c>
      <c r="BI475" s="5" t="str">
        <f t="shared" si="733"/>
        <v>х</v>
      </c>
      <c r="BJ475" s="5" t="str">
        <f t="shared" si="733"/>
        <v>х</v>
      </c>
      <c r="BK475" s="5" t="str">
        <f t="shared" si="733"/>
        <v>х</v>
      </c>
      <c r="BL475" s="5" t="str">
        <f t="shared" si="733"/>
        <v>х</v>
      </c>
      <c r="BM475" s="5" t="str">
        <f t="shared" si="733"/>
        <v>х</v>
      </c>
      <c r="BN475" s="5" t="str">
        <f t="shared" si="733"/>
        <v>х</v>
      </c>
      <c r="BO475" s="5" t="str">
        <f t="shared" si="733"/>
        <v>х</v>
      </c>
      <c r="BP475" s="5" t="str">
        <f t="shared" si="733"/>
        <v>х</v>
      </c>
      <c r="BQ475" s="5" t="str">
        <f t="shared" si="733"/>
        <v>х</v>
      </c>
      <c r="BR475" s="5" t="str">
        <f>""</f>
        <v/>
      </c>
      <c r="BS475" s="5" t="str">
        <f>"35,00"</f>
        <v>35,00</v>
      </c>
      <c r="BT475" s="5" t="str">
        <f>"2020"</f>
        <v>2020</v>
      </c>
      <c r="BU475" s="5" t="str">
        <f t="shared" si="689"/>
        <v>нет</v>
      </c>
      <c r="BV475" s="5" t="str">
        <f t="shared" si="720"/>
        <v>x</v>
      </c>
      <c r="BW475" s="5" t="str">
        <f t="shared" si="720"/>
        <v>x</v>
      </c>
      <c r="BX475" s="5" t="str">
        <f t="shared" si="720"/>
        <v>x</v>
      </c>
      <c r="BY475" s="5" t="str">
        <f t="shared" si="728"/>
        <v>нет</v>
      </c>
      <c r="BZ475" s="5" t="str">
        <f t="shared" si="729"/>
        <v>x</v>
      </c>
      <c r="CA475" s="5" t="str">
        <f t="shared" si="729"/>
        <v>x</v>
      </c>
      <c r="CB475" s="5" t="str">
        <f t="shared" si="729"/>
        <v>x</v>
      </c>
      <c r="CC475" s="5" t="str">
        <f>""</f>
        <v/>
      </c>
      <c r="CD475" s="5" t="str">
        <f>"20,00"</f>
        <v>20,00</v>
      </c>
      <c r="CE475" s="5" t="str">
        <f>"2031"</f>
        <v>2031</v>
      </c>
      <c r="CF475" s="5" t="str">
        <f>""</f>
        <v/>
      </c>
      <c r="CG475" s="5" t="str">
        <f>"12,00"</f>
        <v>12,00</v>
      </c>
      <c r="CH475" s="5" t="str">
        <f>"2033"</f>
        <v>2033</v>
      </c>
      <c r="CI475" s="5" t="str">
        <f>"36,00"</f>
        <v>36,00</v>
      </c>
      <c r="CJ475" s="5" t="str">
        <f>"2041"</f>
        <v>2041</v>
      </c>
    </row>
    <row r="476" spans="1:88" ht="11.25" customHeight="1">
      <c r="A476" s="3" t="str">
        <f>"1.463"</f>
        <v>1.463</v>
      </c>
      <c r="B476" s="4" t="str">
        <f>"п/ст. Лежа, ул. Железнодорожная, д.14"</f>
        <v>п/ст. Лежа, ул. Железнодорожная, д.14</v>
      </c>
      <c r="C476" s="7" t="str">
        <f>"1983"</f>
        <v>1983</v>
      </c>
      <c r="D476" s="5" t="str">
        <f>"1905"</f>
        <v>1905</v>
      </c>
      <c r="E476" s="5" t="str">
        <f>"75,00"</f>
        <v>75,00</v>
      </c>
      <c r="F476" s="5" t="str">
        <f>"2019"</f>
        <v>2019</v>
      </c>
      <c r="G476" s="5" t="str">
        <f>"нет"</f>
        <v>нет</v>
      </c>
      <c r="H476" s="5" t="str">
        <f t="shared" ref="H476:J477" si="737">"х"</f>
        <v>х</v>
      </c>
      <c r="I476" s="5" t="str">
        <f t="shared" si="737"/>
        <v>х</v>
      </c>
      <c r="J476" s="5" t="str">
        <f t="shared" si="737"/>
        <v>х</v>
      </c>
      <c r="K476" s="5" t="str">
        <f>"нет"</f>
        <v>нет</v>
      </c>
      <c r="L476" s="5" t="str">
        <f t="shared" ref="L476:N477" si="738">"х"</f>
        <v>х</v>
      </c>
      <c r="M476" s="5" t="str">
        <f t="shared" si="738"/>
        <v>х</v>
      </c>
      <c r="N476" s="5" t="str">
        <f t="shared" si="738"/>
        <v>х</v>
      </c>
      <c r="O476" s="8" t="str">
        <f t="shared" si="734"/>
        <v>х</v>
      </c>
      <c r="P476" s="5" t="str">
        <f t="shared" si="734"/>
        <v>х</v>
      </c>
      <c r="Q476" s="5" t="str">
        <f t="shared" si="734"/>
        <v>х</v>
      </c>
      <c r="R476" s="5" t="str">
        <f t="shared" si="734"/>
        <v>х</v>
      </c>
      <c r="S476" s="5" t="str">
        <f t="shared" si="734"/>
        <v>х</v>
      </c>
      <c r="T476" s="5" t="str">
        <f t="shared" si="734"/>
        <v>х</v>
      </c>
      <c r="U476" s="5" t="str">
        <f t="shared" si="734"/>
        <v>х</v>
      </c>
      <c r="V476" s="5" t="str">
        <f t="shared" si="734"/>
        <v>х</v>
      </c>
      <c r="W476" s="5" t="str">
        <f t="shared" si="734"/>
        <v>х</v>
      </c>
      <c r="X476" s="5" t="str">
        <f t="shared" si="734"/>
        <v>х</v>
      </c>
      <c r="Y476" s="9" t="str">
        <f t="shared" si="735"/>
        <v>х</v>
      </c>
      <c r="Z476" s="5" t="str">
        <f t="shared" si="735"/>
        <v>х</v>
      </c>
      <c r="AA476" s="5" t="str">
        <f t="shared" si="735"/>
        <v>х</v>
      </c>
      <c r="AB476" s="5" t="str">
        <f t="shared" si="735"/>
        <v>х</v>
      </c>
      <c r="AC476" s="5" t="str">
        <f t="shared" si="735"/>
        <v>х</v>
      </c>
      <c r="AD476" s="5" t="str">
        <f t="shared" si="735"/>
        <v>х</v>
      </c>
      <c r="AE476" s="5" t="str">
        <f t="shared" si="735"/>
        <v>х</v>
      </c>
      <c r="AF476" s="5" t="str">
        <f t="shared" si="735"/>
        <v>х</v>
      </c>
      <c r="AG476" s="5" t="str">
        <f t="shared" si="735"/>
        <v>х</v>
      </c>
      <c r="AH476" s="5" t="str">
        <f t="shared" si="735"/>
        <v>х</v>
      </c>
      <c r="AI476" s="5" t="str">
        <f t="shared" si="735"/>
        <v>х</v>
      </c>
      <c r="AJ476" s="5" t="str">
        <f t="shared" si="735"/>
        <v>х</v>
      </c>
      <c r="AK476" s="8" t="str">
        <f t="shared" si="731"/>
        <v>х</v>
      </c>
      <c r="AL476" s="5" t="str">
        <f t="shared" si="731"/>
        <v>х</v>
      </c>
      <c r="AM476" s="5" t="str">
        <f t="shared" si="731"/>
        <v>х</v>
      </c>
      <c r="AN476" s="5" t="str">
        <f t="shared" si="731"/>
        <v>х</v>
      </c>
      <c r="AO476" s="5" t="str">
        <f t="shared" si="731"/>
        <v>х</v>
      </c>
      <c r="AP476" s="5" t="str">
        <f t="shared" si="731"/>
        <v>х</v>
      </c>
      <c r="AQ476" s="5" t="str">
        <f t="shared" si="731"/>
        <v>х</v>
      </c>
      <c r="AR476" s="5" t="str">
        <f t="shared" si="731"/>
        <v>х</v>
      </c>
      <c r="AS476" s="5" t="str">
        <f t="shared" si="731"/>
        <v>х</v>
      </c>
      <c r="AT476" s="5" t="str">
        <f t="shared" si="731"/>
        <v>х</v>
      </c>
      <c r="AU476" s="5" t="str">
        <f t="shared" si="732"/>
        <v>х</v>
      </c>
      <c r="AV476" s="5" t="str">
        <f t="shared" si="732"/>
        <v>х</v>
      </c>
      <c r="AW476" s="5" t="str">
        <f t="shared" si="732"/>
        <v>х</v>
      </c>
      <c r="AX476" s="5" t="str">
        <f t="shared" si="732"/>
        <v>х</v>
      </c>
      <c r="AY476" s="5" t="str">
        <f t="shared" si="732"/>
        <v>х</v>
      </c>
      <c r="AZ476" s="5" t="str">
        <f t="shared" si="732"/>
        <v>х</v>
      </c>
      <c r="BA476" s="5" t="str">
        <f t="shared" si="732"/>
        <v>х</v>
      </c>
      <c r="BB476" s="5" t="str">
        <f t="shared" si="732"/>
        <v>х</v>
      </c>
      <c r="BC476" s="5" t="str">
        <f t="shared" si="732"/>
        <v>х</v>
      </c>
      <c r="BD476" s="5" t="str">
        <f t="shared" si="732"/>
        <v>х</v>
      </c>
      <c r="BE476" s="5" t="str">
        <f t="shared" si="733"/>
        <v>х</v>
      </c>
      <c r="BF476" s="5" t="str">
        <f t="shared" si="733"/>
        <v>х</v>
      </c>
      <c r="BG476" s="5" t="str">
        <f t="shared" si="733"/>
        <v>х</v>
      </c>
      <c r="BH476" s="5" t="str">
        <f t="shared" si="733"/>
        <v>х</v>
      </c>
      <c r="BI476" s="5" t="str">
        <f t="shared" si="733"/>
        <v>х</v>
      </c>
      <c r="BJ476" s="5" t="str">
        <f t="shared" si="733"/>
        <v>х</v>
      </c>
      <c r="BK476" s="5" t="str">
        <f t="shared" si="733"/>
        <v>х</v>
      </c>
      <c r="BL476" s="5" t="str">
        <f t="shared" si="733"/>
        <v>х</v>
      </c>
      <c r="BM476" s="5" t="str">
        <f t="shared" si="733"/>
        <v>х</v>
      </c>
      <c r="BN476" s="5" t="str">
        <f t="shared" si="733"/>
        <v>х</v>
      </c>
      <c r="BO476" s="5" t="str">
        <f t="shared" si="733"/>
        <v>х</v>
      </c>
      <c r="BP476" s="5" t="str">
        <f t="shared" si="733"/>
        <v>х</v>
      </c>
      <c r="BQ476" s="5" t="str">
        <f t="shared" si="733"/>
        <v>х</v>
      </c>
      <c r="BR476" s="5" t="str">
        <f>"1905"</f>
        <v>1905</v>
      </c>
      <c r="BS476" s="5" t="str">
        <f>"75,00"</f>
        <v>75,00</v>
      </c>
      <c r="BT476" s="5" t="str">
        <f>"2019"</f>
        <v>2019</v>
      </c>
      <c r="BU476" s="5" t="str">
        <f t="shared" si="689"/>
        <v>нет</v>
      </c>
      <c r="BV476" s="5" t="str">
        <f t="shared" si="720"/>
        <v>x</v>
      </c>
      <c r="BW476" s="5" t="str">
        <f t="shared" si="720"/>
        <v>x</v>
      </c>
      <c r="BX476" s="5" t="str">
        <f t="shared" si="720"/>
        <v>x</v>
      </c>
      <c r="BY476" s="5" t="str">
        <f t="shared" si="728"/>
        <v>нет</v>
      </c>
      <c r="BZ476" s="5" t="str">
        <f t="shared" si="729"/>
        <v>x</v>
      </c>
      <c r="CA476" s="5" t="str">
        <f t="shared" si="729"/>
        <v>x</v>
      </c>
      <c r="CB476" s="5" t="str">
        <f t="shared" si="729"/>
        <v>x</v>
      </c>
      <c r="CC476" s="5" t="str">
        <f>"1905"</f>
        <v>1905</v>
      </c>
      <c r="CD476" s="5" t="str">
        <f>"75,00"</f>
        <v>75,00</v>
      </c>
      <c r="CE476" s="5" t="str">
        <f>"2019"</f>
        <v>2019</v>
      </c>
      <c r="CF476" s="5" t="str">
        <f>"1905"</f>
        <v>1905</v>
      </c>
      <c r="CG476" s="5" t="str">
        <f>"75,00"</f>
        <v>75,00</v>
      </c>
      <c r="CH476" s="5" t="str">
        <f>"2019"</f>
        <v>2019</v>
      </c>
      <c r="CI476" s="5" t="str">
        <f>"63,00"</f>
        <v>63,00</v>
      </c>
      <c r="CJ476" s="5" t="str">
        <f>"2041"</f>
        <v>2041</v>
      </c>
    </row>
    <row r="477" spans="1:88" ht="11.25" customHeight="1">
      <c r="A477" s="3" t="str">
        <f>"1.464"</f>
        <v>1.464</v>
      </c>
      <c r="B477" s="4" t="str">
        <f>"п/ст. Лежа, ул. Железнодорожная, д.21"</f>
        <v>п/ст. Лежа, ул. Железнодорожная, д.21</v>
      </c>
      <c r="C477" s="7" t="str">
        <f>"1986"</f>
        <v>1986</v>
      </c>
      <c r="D477" s="5" t="str">
        <f>"1986"</f>
        <v>1986</v>
      </c>
      <c r="E477" s="5" t="str">
        <f>"60,00"</f>
        <v>60,00</v>
      </c>
      <c r="F477" s="5" t="str">
        <f>"2022"</f>
        <v>2022</v>
      </c>
      <c r="G477" s="5" t="str">
        <f>"нет"</f>
        <v>нет</v>
      </c>
      <c r="H477" s="5" t="str">
        <f t="shared" si="737"/>
        <v>х</v>
      </c>
      <c r="I477" s="5" t="str">
        <f t="shared" si="737"/>
        <v>х</v>
      </c>
      <c r="J477" s="5" t="str">
        <f t="shared" si="737"/>
        <v>х</v>
      </c>
      <c r="K477" s="5" t="str">
        <f>"нет"</f>
        <v>нет</v>
      </c>
      <c r="L477" s="5" t="str">
        <f t="shared" si="738"/>
        <v>х</v>
      </c>
      <c r="M477" s="5" t="str">
        <f t="shared" si="738"/>
        <v>х</v>
      </c>
      <c r="N477" s="5" t="str">
        <f t="shared" si="738"/>
        <v>х</v>
      </c>
      <c r="O477" s="8" t="str">
        <f t="shared" si="734"/>
        <v>х</v>
      </c>
      <c r="P477" s="5" t="str">
        <f t="shared" si="734"/>
        <v>х</v>
      </c>
      <c r="Q477" s="5" t="str">
        <f t="shared" si="734"/>
        <v>х</v>
      </c>
      <c r="R477" s="5" t="str">
        <f t="shared" si="734"/>
        <v>х</v>
      </c>
      <c r="S477" s="5" t="str">
        <f t="shared" si="734"/>
        <v>х</v>
      </c>
      <c r="T477" s="5" t="str">
        <f t="shared" si="734"/>
        <v>х</v>
      </c>
      <c r="U477" s="5" t="str">
        <f t="shared" si="734"/>
        <v>х</v>
      </c>
      <c r="V477" s="5" t="str">
        <f t="shared" si="734"/>
        <v>х</v>
      </c>
      <c r="W477" s="5" t="str">
        <f t="shared" si="734"/>
        <v>х</v>
      </c>
      <c r="X477" s="5" t="str">
        <f t="shared" si="734"/>
        <v>х</v>
      </c>
      <c r="Y477" s="9" t="str">
        <f t="shared" si="735"/>
        <v>х</v>
      </c>
      <c r="Z477" s="5" t="str">
        <f t="shared" si="735"/>
        <v>х</v>
      </c>
      <c r="AA477" s="5" t="str">
        <f t="shared" si="735"/>
        <v>х</v>
      </c>
      <c r="AB477" s="5" t="str">
        <f t="shared" si="735"/>
        <v>х</v>
      </c>
      <c r="AC477" s="5" t="str">
        <f t="shared" si="735"/>
        <v>х</v>
      </c>
      <c r="AD477" s="5" t="str">
        <f t="shared" si="735"/>
        <v>х</v>
      </c>
      <c r="AE477" s="5" t="str">
        <f t="shared" si="735"/>
        <v>х</v>
      </c>
      <c r="AF477" s="5" t="str">
        <f t="shared" si="735"/>
        <v>х</v>
      </c>
      <c r="AG477" s="5" t="str">
        <f t="shared" si="735"/>
        <v>х</v>
      </c>
      <c r="AH477" s="5" t="str">
        <f t="shared" si="735"/>
        <v>х</v>
      </c>
      <c r="AI477" s="5" t="str">
        <f t="shared" si="735"/>
        <v>х</v>
      </c>
      <c r="AJ477" s="5" t="str">
        <f t="shared" si="735"/>
        <v>х</v>
      </c>
      <c r="AK477" s="8" t="str">
        <f t="shared" si="731"/>
        <v>х</v>
      </c>
      <c r="AL477" s="5" t="str">
        <f t="shared" si="731"/>
        <v>х</v>
      </c>
      <c r="AM477" s="5" t="str">
        <f t="shared" si="731"/>
        <v>х</v>
      </c>
      <c r="AN477" s="5" t="str">
        <f t="shared" si="731"/>
        <v>х</v>
      </c>
      <c r="AO477" s="5" t="str">
        <f t="shared" si="731"/>
        <v>х</v>
      </c>
      <c r="AP477" s="5" t="str">
        <f t="shared" si="731"/>
        <v>х</v>
      </c>
      <c r="AQ477" s="5" t="str">
        <f t="shared" si="731"/>
        <v>х</v>
      </c>
      <c r="AR477" s="5" t="str">
        <f t="shared" si="731"/>
        <v>х</v>
      </c>
      <c r="AS477" s="5" t="str">
        <f t="shared" si="731"/>
        <v>х</v>
      </c>
      <c r="AT477" s="5" t="str">
        <f t="shared" si="731"/>
        <v>х</v>
      </c>
      <c r="AU477" s="5" t="str">
        <f t="shared" si="732"/>
        <v>х</v>
      </c>
      <c r="AV477" s="5" t="str">
        <f t="shared" si="732"/>
        <v>х</v>
      </c>
      <c r="AW477" s="5" t="str">
        <f t="shared" si="732"/>
        <v>х</v>
      </c>
      <c r="AX477" s="5" t="str">
        <f t="shared" si="732"/>
        <v>х</v>
      </c>
      <c r="AY477" s="5" t="str">
        <f t="shared" si="732"/>
        <v>х</v>
      </c>
      <c r="AZ477" s="5" t="str">
        <f t="shared" si="732"/>
        <v>х</v>
      </c>
      <c r="BA477" s="5" t="str">
        <f t="shared" si="732"/>
        <v>х</v>
      </c>
      <c r="BB477" s="5" t="str">
        <f t="shared" si="732"/>
        <v>х</v>
      </c>
      <c r="BC477" s="5" t="str">
        <f t="shared" si="732"/>
        <v>х</v>
      </c>
      <c r="BD477" s="5" t="str">
        <f t="shared" si="732"/>
        <v>х</v>
      </c>
      <c r="BE477" s="5" t="str">
        <f t="shared" si="733"/>
        <v>х</v>
      </c>
      <c r="BF477" s="5" t="str">
        <f t="shared" si="733"/>
        <v>х</v>
      </c>
      <c r="BG477" s="5" t="str">
        <f t="shared" si="733"/>
        <v>х</v>
      </c>
      <c r="BH477" s="5" t="str">
        <f t="shared" si="733"/>
        <v>х</v>
      </c>
      <c r="BI477" s="5" t="str">
        <f t="shared" si="733"/>
        <v>х</v>
      </c>
      <c r="BJ477" s="5" t="str">
        <f t="shared" si="733"/>
        <v>х</v>
      </c>
      <c r="BK477" s="5" t="str">
        <f t="shared" si="733"/>
        <v>х</v>
      </c>
      <c r="BL477" s="5" t="str">
        <f t="shared" si="733"/>
        <v>х</v>
      </c>
      <c r="BM477" s="5" t="str">
        <f t="shared" si="733"/>
        <v>х</v>
      </c>
      <c r="BN477" s="5" t="str">
        <f t="shared" si="733"/>
        <v>х</v>
      </c>
      <c r="BO477" s="5" t="str">
        <f t="shared" si="733"/>
        <v>х</v>
      </c>
      <c r="BP477" s="5" t="str">
        <f t="shared" si="733"/>
        <v>х</v>
      </c>
      <c r="BQ477" s="5" t="str">
        <f t="shared" si="733"/>
        <v>х</v>
      </c>
      <c r="BR477" s="5" t="str">
        <f>"1986"</f>
        <v>1986</v>
      </c>
      <c r="BS477" s="5" t="str">
        <f>"60,00"</f>
        <v>60,00</v>
      </c>
      <c r="BT477" s="5" t="str">
        <f>"2022"</f>
        <v>2022</v>
      </c>
      <c r="BU477" s="5" t="str">
        <f t="shared" si="689"/>
        <v>нет</v>
      </c>
      <c r="BV477" s="5" t="str">
        <f t="shared" si="720"/>
        <v>x</v>
      </c>
      <c r="BW477" s="5" t="str">
        <f t="shared" si="720"/>
        <v>x</v>
      </c>
      <c r="BX477" s="5" t="str">
        <f t="shared" si="720"/>
        <v>x</v>
      </c>
      <c r="BY477" s="5" t="str">
        <f t="shared" si="728"/>
        <v>нет</v>
      </c>
      <c r="BZ477" s="5" t="str">
        <f t="shared" si="729"/>
        <v>x</v>
      </c>
      <c r="CA477" s="5" t="str">
        <f t="shared" si="729"/>
        <v>x</v>
      </c>
      <c r="CB477" s="5" t="str">
        <f t="shared" si="729"/>
        <v>x</v>
      </c>
      <c r="CC477" s="5" t="str">
        <f>"1986"</f>
        <v>1986</v>
      </c>
      <c r="CD477" s="5" t="str">
        <f>"60,00"</f>
        <v>60,00</v>
      </c>
      <c r="CE477" s="5" t="str">
        <f>"2022"</f>
        <v>2022</v>
      </c>
      <c r="CF477" s="5" t="str">
        <f>"1986"</f>
        <v>1986</v>
      </c>
      <c r="CG477" s="5" t="str">
        <f>"60,00"</f>
        <v>60,00</v>
      </c>
      <c r="CH477" s="5" t="str">
        <f>"2022"</f>
        <v>2022</v>
      </c>
      <c r="CI477" s="5" t="str">
        <f>"35,00"</f>
        <v>35,00</v>
      </c>
      <c r="CJ477" s="5" t="str">
        <f>"2044"</f>
        <v>2044</v>
      </c>
    </row>
    <row r="478" spans="1:88" ht="11.25" customHeight="1">
      <c r="A478" s="3" t="str">
        <f>"1.465"</f>
        <v>1.465</v>
      </c>
      <c r="B478" s="4" t="str">
        <f>"п/ст. Лежа, ул. Советская, д.6"</f>
        <v>п/ст. Лежа, ул. Советская, д.6</v>
      </c>
      <c r="C478" s="7" t="str">
        <f>"1990"</f>
        <v>1990</v>
      </c>
      <c r="D478" s="5" t="str">
        <f>""</f>
        <v/>
      </c>
      <c r="E478" s="5" t="str">
        <f>"45,00"</f>
        <v>45,00</v>
      </c>
      <c r="F478" s="5" t="str">
        <f>"2045"</f>
        <v>2045</v>
      </c>
      <c r="G478" s="5" t="str">
        <f>"нет"</f>
        <v>нет</v>
      </c>
      <c r="H478" s="5" t="str">
        <f>""</f>
        <v/>
      </c>
      <c r="I478" s="5" t="str">
        <f>""</f>
        <v/>
      </c>
      <c r="J478" s="5" t="str">
        <f>""</f>
        <v/>
      </c>
      <c r="K478" s="5" t="str">
        <f>"нет"</f>
        <v>нет</v>
      </c>
      <c r="L478" s="5" t="str">
        <f>""</f>
        <v/>
      </c>
      <c r="M478" s="5" t="str">
        <f>""</f>
        <v/>
      </c>
      <c r="N478" s="5" t="str">
        <f>""</f>
        <v/>
      </c>
      <c r="O478" s="8" t="str">
        <f t="shared" ref="O478:Y478" si="739">"х"</f>
        <v>х</v>
      </c>
      <c r="P478" s="5" t="str">
        <f t="shared" si="739"/>
        <v>х</v>
      </c>
      <c r="Q478" s="5" t="str">
        <f t="shared" si="739"/>
        <v>х</v>
      </c>
      <c r="R478" s="5" t="str">
        <f t="shared" si="739"/>
        <v>х</v>
      </c>
      <c r="S478" s="5" t="str">
        <f t="shared" si="739"/>
        <v>х</v>
      </c>
      <c r="T478" s="5" t="str">
        <f t="shared" si="739"/>
        <v>х</v>
      </c>
      <c r="U478" s="5" t="str">
        <f t="shared" si="739"/>
        <v>х</v>
      </c>
      <c r="V478" s="5" t="str">
        <f t="shared" si="739"/>
        <v>х</v>
      </c>
      <c r="W478" s="5" t="str">
        <f t="shared" si="739"/>
        <v>х</v>
      </c>
      <c r="X478" s="5" t="str">
        <f t="shared" si="739"/>
        <v>х</v>
      </c>
      <c r="Y478" s="9" t="str">
        <f t="shared" si="739"/>
        <v>х</v>
      </c>
      <c r="Z478" s="5" t="str">
        <f>""</f>
        <v/>
      </c>
      <c r="AA478" s="5" t="str">
        <f>"45,00"</f>
        <v>45,00</v>
      </c>
      <c r="AB478" s="5" t="str">
        <f>"2045"</f>
        <v>2045</v>
      </c>
      <c r="AC478" s="5" t="str">
        <f>"нет"</f>
        <v>нет</v>
      </c>
      <c r="AD478" s="5" t="str">
        <f>""</f>
        <v/>
      </c>
      <c r="AE478" s="5" t="str">
        <f>""</f>
        <v/>
      </c>
      <c r="AF478" s="5" t="str">
        <f>""</f>
        <v/>
      </c>
      <c r="AG478" s="5" t="str">
        <f>"нет"</f>
        <v>нет</v>
      </c>
      <c r="AH478" s="5" t="str">
        <f>""</f>
        <v/>
      </c>
      <c r="AI478" s="5" t="str">
        <f>""</f>
        <v/>
      </c>
      <c r="AJ478" s="5" t="str">
        <f>""</f>
        <v/>
      </c>
      <c r="AK478" s="8" t="str">
        <f t="shared" si="731"/>
        <v>х</v>
      </c>
      <c r="AL478" s="5" t="str">
        <f t="shared" si="731"/>
        <v>х</v>
      </c>
      <c r="AM478" s="5" t="str">
        <f t="shared" si="731"/>
        <v>х</v>
      </c>
      <c r="AN478" s="5" t="str">
        <f t="shared" si="731"/>
        <v>х</v>
      </c>
      <c r="AO478" s="5" t="str">
        <f t="shared" si="731"/>
        <v>х</v>
      </c>
      <c r="AP478" s="5" t="str">
        <f t="shared" si="731"/>
        <v>х</v>
      </c>
      <c r="AQ478" s="5" t="str">
        <f t="shared" si="731"/>
        <v>х</v>
      </c>
      <c r="AR478" s="5" t="str">
        <f t="shared" si="731"/>
        <v>х</v>
      </c>
      <c r="AS478" s="5" t="str">
        <f t="shared" si="731"/>
        <v>х</v>
      </c>
      <c r="AT478" s="5" t="str">
        <f t="shared" si="731"/>
        <v>х</v>
      </c>
      <c r="AU478" s="5" t="str">
        <f t="shared" si="732"/>
        <v>х</v>
      </c>
      <c r="AV478" s="5" t="str">
        <f t="shared" si="732"/>
        <v>х</v>
      </c>
      <c r="AW478" s="5" t="str">
        <f t="shared" si="732"/>
        <v>х</v>
      </c>
      <c r="AX478" s="5" t="str">
        <f t="shared" si="732"/>
        <v>х</v>
      </c>
      <c r="AY478" s="5" t="str">
        <f t="shared" si="732"/>
        <v>х</v>
      </c>
      <c r="AZ478" s="5" t="str">
        <f t="shared" si="732"/>
        <v>х</v>
      </c>
      <c r="BA478" s="5" t="str">
        <f t="shared" si="732"/>
        <v>х</v>
      </c>
      <c r="BB478" s="5" t="str">
        <f t="shared" si="732"/>
        <v>х</v>
      </c>
      <c r="BC478" s="5" t="str">
        <f t="shared" si="732"/>
        <v>х</v>
      </c>
      <c r="BD478" s="5" t="str">
        <f t="shared" si="732"/>
        <v>х</v>
      </c>
      <c r="BE478" s="5" t="str">
        <f t="shared" si="733"/>
        <v>х</v>
      </c>
      <c r="BF478" s="5" t="str">
        <f t="shared" si="733"/>
        <v>х</v>
      </c>
      <c r="BG478" s="5" t="str">
        <f t="shared" si="733"/>
        <v>х</v>
      </c>
      <c r="BH478" s="5" t="str">
        <f t="shared" si="733"/>
        <v>х</v>
      </c>
      <c r="BI478" s="5" t="str">
        <f t="shared" si="733"/>
        <v>х</v>
      </c>
      <c r="BJ478" s="5" t="str">
        <f t="shared" si="733"/>
        <v>х</v>
      </c>
      <c r="BK478" s="5" t="str">
        <f t="shared" si="733"/>
        <v>х</v>
      </c>
      <c r="BL478" s="5" t="str">
        <f t="shared" si="733"/>
        <v>х</v>
      </c>
      <c r="BM478" s="5" t="str">
        <f t="shared" si="733"/>
        <v>х</v>
      </c>
      <c r="BN478" s="5" t="str">
        <f t="shared" si="733"/>
        <v>х</v>
      </c>
      <c r="BO478" s="5" t="str">
        <f t="shared" si="733"/>
        <v>х</v>
      </c>
      <c r="BP478" s="5" t="str">
        <f t="shared" si="733"/>
        <v>х</v>
      </c>
      <c r="BQ478" s="5" t="str">
        <f t="shared" si="733"/>
        <v>х</v>
      </c>
      <c r="BR478" s="5" t="str">
        <f>""</f>
        <v/>
      </c>
      <c r="BS478" s="5" t="str">
        <f>"45,00"</f>
        <v>45,00</v>
      </c>
      <c r="BT478" s="5" t="str">
        <f>"2045"</f>
        <v>2045</v>
      </c>
      <c r="BU478" s="5" t="str">
        <f t="shared" si="689"/>
        <v>нет</v>
      </c>
      <c r="BV478" s="5" t="str">
        <f t="shared" si="720"/>
        <v>x</v>
      </c>
      <c r="BW478" s="5" t="str">
        <f t="shared" si="720"/>
        <v>x</v>
      </c>
      <c r="BX478" s="5" t="str">
        <f t="shared" si="720"/>
        <v>x</v>
      </c>
      <c r="BY478" s="5" t="str">
        <f t="shared" si="728"/>
        <v>нет</v>
      </c>
      <c r="BZ478" s="5" t="str">
        <f t="shared" si="729"/>
        <v>x</v>
      </c>
      <c r="CA478" s="5" t="str">
        <f t="shared" si="729"/>
        <v>x</v>
      </c>
      <c r="CB478" s="5" t="str">
        <f t="shared" si="729"/>
        <v>x</v>
      </c>
      <c r="CC478" s="5" t="str">
        <f>""</f>
        <v/>
      </c>
      <c r="CD478" s="5" t="str">
        <f>"45,00"</f>
        <v>45,00</v>
      </c>
      <c r="CE478" s="5" t="str">
        <f>"2045"</f>
        <v>2045</v>
      </c>
      <c r="CF478" s="5" t="str">
        <f>""</f>
        <v/>
      </c>
      <c r="CG478" s="5" t="str">
        <f>"45,00"</f>
        <v>45,00</v>
      </c>
      <c r="CH478" s="5" t="str">
        <f>"2045"</f>
        <v>2045</v>
      </c>
      <c r="CI478" s="5" t="str">
        <f>"45,00"</f>
        <v>45,00</v>
      </c>
      <c r="CJ478" s="5" t="str">
        <f>"2045"</f>
        <v>2045</v>
      </c>
    </row>
    <row r="479" spans="1:88" ht="11.25" customHeight="1">
      <c r="A479" s="3" t="str">
        <f>"1.466"</f>
        <v>1.466</v>
      </c>
      <c r="B479" s="4" t="str">
        <f>"п/ст. Нефедово (Плосковское МО), улица. Железнодорожная, д.18"</f>
        <v>п/ст. Нефедово (Плосковское МО), улица. Железнодорожная, д.18</v>
      </c>
      <c r="C479" s="7" t="str">
        <f>"1963"</f>
        <v>1963</v>
      </c>
      <c r="D479" s="5" t="str">
        <f t="shared" ref="D479:N480" si="740">"х"</f>
        <v>х</v>
      </c>
      <c r="E479" s="5" t="str">
        <f t="shared" si="740"/>
        <v>х</v>
      </c>
      <c r="F479" s="5" t="str">
        <f t="shared" si="740"/>
        <v>х</v>
      </c>
      <c r="G479" s="5" t="str">
        <f t="shared" si="740"/>
        <v>х</v>
      </c>
      <c r="H479" s="5" t="str">
        <f t="shared" si="740"/>
        <v>х</v>
      </c>
      <c r="I479" s="5" t="str">
        <f t="shared" si="740"/>
        <v>х</v>
      </c>
      <c r="J479" s="5" t="str">
        <f t="shared" si="740"/>
        <v>х</v>
      </c>
      <c r="K479" s="5" t="str">
        <f t="shared" si="740"/>
        <v>х</v>
      </c>
      <c r="L479" s="5" t="str">
        <f t="shared" si="740"/>
        <v>х</v>
      </c>
      <c r="M479" s="5" t="str">
        <f t="shared" si="740"/>
        <v>х</v>
      </c>
      <c r="N479" s="5" t="str">
        <f t="shared" si="740"/>
        <v>х</v>
      </c>
      <c r="O479" s="8" t="str">
        <f>""</f>
        <v/>
      </c>
      <c r="P479" s="5" t="str">
        <f>""</f>
        <v/>
      </c>
      <c r="Q479" s="5" t="str">
        <f>""</f>
        <v/>
      </c>
      <c r="R479" s="5" t="str">
        <f>""</f>
        <v/>
      </c>
      <c r="S479" s="5" t="str">
        <f>""</f>
        <v/>
      </c>
      <c r="T479" s="5" t="str">
        <f>""</f>
        <v/>
      </c>
      <c r="U479" s="5" t="str">
        <f>""</f>
        <v/>
      </c>
      <c r="V479" s="5" t="str">
        <f>""</f>
        <v/>
      </c>
      <c r="W479" s="5" t="str">
        <f>""</f>
        <v/>
      </c>
      <c r="X479" s="5" t="str">
        <f>""</f>
        <v/>
      </c>
      <c r="Y479" s="9" t="str">
        <f>""</f>
        <v/>
      </c>
      <c r="Z479" s="5" t="str">
        <f>""</f>
        <v/>
      </c>
      <c r="AA479" s="5" t="str">
        <f>""</f>
        <v/>
      </c>
      <c r="AB479" s="5" t="str">
        <f>""</f>
        <v/>
      </c>
      <c r="AC479" s="5" t="str">
        <f>""</f>
        <v/>
      </c>
      <c r="AD479" s="5" t="str">
        <f>""</f>
        <v/>
      </c>
      <c r="AE479" s="5" t="str">
        <f>""</f>
        <v/>
      </c>
      <c r="AF479" s="5" t="str">
        <f>""</f>
        <v/>
      </c>
      <c r="AG479" s="5" t="str">
        <f>""</f>
        <v/>
      </c>
      <c r="AH479" s="5" t="str">
        <f>""</f>
        <v/>
      </c>
      <c r="AI479" s="5" t="str">
        <f>""</f>
        <v/>
      </c>
      <c r="AJ479" s="5" t="str">
        <f>""</f>
        <v/>
      </c>
      <c r="AK479" s="8" t="str">
        <f t="shared" si="731"/>
        <v>х</v>
      </c>
      <c r="AL479" s="5" t="str">
        <f t="shared" si="731"/>
        <v>х</v>
      </c>
      <c r="AM479" s="5" t="str">
        <f t="shared" si="731"/>
        <v>х</v>
      </c>
      <c r="AN479" s="5" t="str">
        <f t="shared" si="731"/>
        <v>х</v>
      </c>
      <c r="AO479" s="5" t="str">
        <f t="shared" si="731"/>
        <v>х</v>
      </c>
      <c r="AP479" s="5" t="str">
        <f t="shared" si="731"/>
        <v>х</v>
      </c>
      <c r="AQ479" s="5" t="str">
        <f t="shared" si="731"/>
        <v>х</v>
      </c>
      <c r="AR479" s="5" t="str">
        <f t="shared" si="731"/>
        <v>х</v>
      </c>
      <c r="AS479" s="5" t="str">
        <f t="shared" si="731"/>
        <v>х</v>
      </c>
      <c r="AT479" s="5" t="str">
        <f t="shared" si="731"/>
        <v>х</v>
      </c>
      <c r="AU479" s="5" t="str">
        <f t="shared" si="732"/>
        <v>х</v>
      </c>
      <c r="AV479" s="5" t="str">
        <f t="shared" si="732"/>
        <v>х</v>
      </c>
      <c r="AW479" s="5" t="str">
        <f t="shared" si="732"/>
        <v>х</v>
      </c>
      <c r="AX479" s="5" t="str">
        <f t="shared" si="732"/>
        <v>х</v>
      </c>
      <c r="AY479" s="5" t="str">
        <f t="shared" si="732"/>
        <v>х</v>
      </c>
      <c r="AZ479" s="5" t="str">
        <f t="shared" si="732"/>
        <v>х</v>
      </c>
      <c r="BA479" s="5" t="str">
        <f t="shared" si="732"/>
        <v>х</v>
      </c>
      <c r="BB479" s="5" t="str">
        <f t="shared" si="732"/>
        <v>х</v>
      </c>
      <c r="BC479" s="5" t="str">
        <f t="shared" si="732"/>
        <v>х</v>
      </c>
      <c r="BD479" s="5" t="str">
        <f t="shared" si="732"/>
        <v>х</v>
      </c>
      <c r="BE479" s="5" t="str">
        <f t="shared" si="733"/>
        <v>х</v>
      </c>
      <c r="BF479" s="5" t="str">
        <f t="shared" si="733"/>
        <v>х</v>
      </c>
      <c r="BG479" s="5" t="str">
        <f t="shared" si="733"/>
        <v>х</v>
      </c>
      <c r="BH479" s="5" t="str">
        <f t="shared" si="733"/>
        <v>х</v>
      </c>
      <c r="BI479" s="5" t="str">
        <f t="shared" si="733"/>
        <v>х</v>
      </c>
      <c r="BJ479" s="5" t="str">
        <f t="shared" si="733"/>
        <v>х</v>
      </c>
      <c r="BK479" s="5" t="str">
        <f t="shared" si="733"/>
        <v>х</v>
      </c>
      <c r="BL479" s="5" t="str">
        <f t="shared" si="733"/>
        <v>х</v>
      </c>
      <c r="BM479" s="5" t="str">
        <f t="shared" si="733"/>
        <v>х</v>
      </c>
      <c r="BN479" s="5" t="str">
        <f t="shared" si="733"/>
        <v>х</v>
      </c>
      <c r="BO479" s="5" t="str">
        <f t="shared" si="733"/>
        <v>х</v>
      </c>
      <c r="BP479" s="5" t="str">
        <f t="shared" si="733"/>
        <v>х</v>
      </c>
      <c r="BQ479" s="5" t="str">
        <f t="shared" si="733"/>
        <v>х</v>
      </c>
      <c r="BR479" s="5" t="str">
        <f>""</f>
        <v/>
      </c>
      <c r="BS479" s="5" t="str">
        <f>"65,00"</f>
        <v>65,00</v>
      </c>
      <c r="BT479" s="5" t="str">
        <f>"2017"</f>
        <v>2017</v>
      </c>
      <c r="BU479" s="5" t="str">
        <f t="shared" si="689"/>
        <v>нет</v>
      </c>
      <c r="BV479" s="5" t="str">
        <f t="shared" si="720"/>
        <v>x</v>
      </c>
      <c r="BW479" s="5" t="str">
        <f t="shared" si="720"/>
        <v>x</v>
      </c>
      <c r="BX479" s="5" t="str">
        <f t="shared" si="720"/>
        <v>x</v>
      </c>
      <c r="BY479" s="5" t="str">
        <f t="shared" si="728"/>
        <v>нет</v>
      </c>
      <c r="BZ479" s="5" t="str">
        <f t="shared" si="729"/>
        <v>x</v>
      </c>
      <c r="CA479" s="5" t="str">
        <f t="shared" si="729"/>
        <v>x</v>
      </c>
      <c r="CB479" s="5" t="str">
        <f t="shared" si="729"/>
        <v>x</v>
      </c>
      <c r="CC479" s="5" t="str">
        <f>""</f>
        <v/>
      </c>
      <c r="CD479" s="5" t="str">
        <f>"65,00"</f>
        <v>65,00</v>
      </c>
      <c r="CE479" s="5" t="str">
        <f>"2017"</f>
        <v>2017</v>
      </c>
      <c r="CF479" s="5" t="str">
        <f>""</f>
        <v/>
      </c>
      <c r="CG479" s="5" t="str">
        <f>"65,00"</f>
        <v>65,00</v>
      </c>
      <c r="CH479" s="5" t="str">
        <f>"2017"</f>
        <v>2017</v>
      </c>
      <c r="CI479" s="5" t="str">
        <f>"65,00"</f>
        <v>65,00</v>
      </c>
      <c r="CJ479" s="5" t="str">
        <f>"2018"</f>
        <v>2018</v>
      </c>
    </row>
    <row r="480" spans="1:88" ht="11.25" customHeight="1">
      <c r="A480" s="3" t="str">
        <f>"1.467"</f>
        <v>1.467</v>
      </c>
      <c r="B480" s="4" t="str">
        <f>"п/ст. Нефедово (Плосковское МО), улица. Железнодорожная, д.9"</f>
        <v>п/ст. Нефедово (Плосковское МО), улица. Железнодорожная, д.9</v>
      </c>
      <c r="C480" s="7" t="str">
        <f>"1961"</f>
        <v>1961</v>
      </c>
      <c r="D480" s="5" t="str">
        <f t="shared" si="740"/>
        <v>х</v>
      </c>
      <c r="E480" s="5" t="str">
        <f t="shared" si="740"/>
        <v>х</v>
      </c>
      <c r="F480" s="5" t="str">
        <f t="shared" si="740"/>
        <v>х</v>
      </c>
      <c r="G480" s="5" t="str">
        <f t="shared" si="740"/>
        <v>х</v>
      </c>
      <c r="H480" s="5" t="str">
        <f t="shared" si="740"/>
        <v>х</v>
      </c>
      <c r="I480" s="5" t="str">
        <f t="shared" si="740"/>
        <v>х</v>
      </c>
      <c r="J480" s="5" t="str">
        <f t="shared" si="740"/>
        <v>х</v>
      </c>
      <c r="K480" s="5" t="str">
        <f t="shared" si="740"/>
        <v>х</v>
      </c>
      <c r="L480" s="5" t="str">
        <f t="shared" si="740"/>
        <v>х</v>
      </c>
      <c r="M480" s="5" t="str">
        <f t="shared" si="740"/>
        <v>х</v>
      </c>
      <c r="N480" s="5" t="str">
        <f t="shared" si="740"/>
        <v>х</v>
      </c>
      <c r="O480" s="8" t="str">
        <f>""</f>
        <v/>
      </c>
      <c r="P480" s="5" t="str">
        <f>""</f>
        <v/>
      </c>
      <c r="Q480" s="5" t="str">
        <f>""</f>
        <v/>
      </c>
      <c r="R480" s="5" t="str">
        <f>""</f>
        <v/>
      </c>
      <c r="S480" s="5" t="str">
        <f>""</f>
        <v/>
      </c>
      <c r="T480" s="5" t="str">
        <f>""</f>
        <v/>
      </c>
      <c r="U480" s="5" t="str">
        <f>""</f>
        <v/>
      </c>
      <c r="V480" s="5" t="str">
        <f>""</f>
        <v/>
      </c>
      <c r="W480" s="5" t="str">
        <f>""</f>
        <v/>
      </c>
      <c r="X480" s="5" t="str">
        <f>""</f>
        <v/>
      </c>
      <c r="Y480" s="9" t="str">
        <f>""</f>
        <v/>
      </c>
      <c r="Z480" s="5" t="str">
        <f>""</f>
        <v/>
      </c>
      <c r="AA480" s="5" t="str">
        <f>""</f>
        <v/>
      </c>
      <c r="AB480" s="5" t="str">
        <f>""</f>
        <v/>
      </c>
      <c r="AC480" s="5" t="str">
        <f>""</f>
        <v/>
      </c>
      <c r="AD480" s="5" t="str">
        <f>""</f>
        <v/>
      </c>
      <c r="AE480" s="5" t="str">
        <f>""</f>
        <v/>
      </c>
      <c r="AF480" s="5" t="str">
        <f>""</f>
        <v/>
      </c>
      <c r="AG480" s="5" t="str">
        <f>""</f>
        <v/>
      </c>
      <c r="AH480" s="5" t="str">
        <f>""</f>
        <v/>
      </c>
      <c r="AI480" s="5" t="str">
        <f>""</f>
        <v/>
      </c>
      <c r="AJ480" s="5" t="str">
        <f>""</f>
        <v/>
      </c>
      <c r="AK480" s="8" t="str">
        <f t="shared" si="731"/>
        <v>х</v>
      </c>
      <c r="AL480" s="5" t="str">
        <f t="shared" si="731"/>
        <v>х</v>
      </c>
      <c r="AM480" s="5" t="str">
        <f t="shared" si="731"/>
        <v>х</v>
      </c>
      <c r="AN480" s="5" t="str">
        <f t="shared" si="731"/>
        <v>х</v>
      </c>
      <c r="AO480" s="5" t="str">
        <f t="shared" si="731"/>
        <v>х</v>
      </c>
      <c r="AP480" s="5" t="str">
        <f t="shared" si="731"/>
        <v>х</v>
      </c>
      <c r="AQ480" s="5" t="str">
        <f t="shared" si="731"/>
        <v>х</v>
      </c>
      <c r="AR480" s="5" t="str">
        <f t="shared" si="731"/>
        <v>х</v>
      </c>
      <c r="AS480" s="5" t="str">
        <f t="shared" si="731"/>
        <v>х</v>
      </c>
      <c r="AT480" s="5" t="str">
        <f t="shared" si="731"/>
        <v>х</v>
      </c>
      <c r="AU480" s="5" t="str">
        <f t="shared" si="732"/>
        <v>х</v>
      </c>
      <c r="AV480" s="5" t="str">
        <f t="shared" si="732"/>
        <v>х</v>
      </c>
      <c r="AW480" s="5" t="str">
        <f t="shared" si="732"/>
        <v>х</v>
      </c>
      <c r="AX480" s="5" t="str">
        <f t="shared" si="732"/>
        <v>х</v>
      </c>
      <c r="AY480" s="5" t="str">
        <f t="shared" si="732"/>
        <v>х</v>
      </c>
      <c r="AZ480" s="5" t="str">
        <f t="shared" si="732"/>
        <v>х</v>
      </c>
      <c r="BA480" s="5" t="str">
        <f t="shared" si="732"/>
        <v>х</v>
      </c>
      <c r="BB480" s="5" t="str">
        <f t="shared" si="732"/>
        <v>х</v>
      </c>
      <c r="BC480" s="5" t="str">
        <f t="shared" si="732"/>
        <v>х</v>
      </c>
      <c r="BD480" s="5" t="str">
        <f t="shared" si="732"/>
        <v>х</v>
      </c>
      <c r="BE480" s="5" t="str">
        <f t="shared" si="733"/>
        <v>х</v>
      </c>
      <c r="BF480" s="5" t="str">
        <f t="shared" si="733"/>
        <v>х</v>
      </c>
      <c r="BG480" s="5" t="str">
        <f t="shared" si="733"/>
        <v>х</v>
      </c>
      <c r="BH480" s="5" t="str">
        <f t="shared" si="733"/>
        <v>х</v>
      </c>
      <c r="BI480" s="5" t="str">
        <f t="shared" si="733"/>
        <v>х</v>
      </c>
      <c r="BJ480" s="5" t="str">
        <f t="shared" si="733"/>
        <v>х</v>
      </c>
      <c r="BK480" s="5" t="str">
        <f t="shared" si="733"/>
        <v>х</v>
      </c>
      <c r="BL480" s="5" t="str">
        <f t="shared" si="733"/>
        <v>х</v>
      </c>
      <c r="BM480" s="5" t="str">
        <f t="shared" si="733"/>
        <v>х</v>
      </c>
      <c r="BN480" s="5" t="str">
        <f t="shared" si="733"/>
        <v>х</v>
      </c>
      <c r="BO480" s="5" t="str">
        <f t="shared" si="733"/>
        <v>х</v>
      </c>
      <c r="BP480" s="5" t="str">
        <f t="shared" si="733"/>
        <v>х</v>
      </c>
      <c r="BQ480" s="5" t="str">
        <f t="shared" si="733"/>
        <v>х</v>
      </c>
      <c r="BR480" s="5" t="str">
        <f>"2012"</f>
        <v>2012</v>
      </c>
      <c r="BS480" s="5" t="str">
        <f>"0,00"</f>
        <v>0,00</v>
      </c>
      <c r="BT480" s="5" t="str">
        <f>"2030"</f>
        <v>2030</v>
      </c>
      <c r="BU480" s="5" t="str">
        <f t="shared" si="689"/>
        <v>нет</v>
      </c>
      <c r="BV480" s="5" t="str">
        <f t="shared" ref="BV480:BX499" si="741">"x"</f>
        <v>x</v>
      </c>
      <c r="BW480" s="5" t="str">
        <f t="shared" si="741"/>
        <v>x</v>
      </c>
      <c r="BX480" s="5" t="str">
        <f t="shared" si="741"/>
        <v>x</v>
      </c>
      <c r="BY480" s="5" t="str">
        <f t="shared" si="728"/>
        <v>нет</v>
      </c>
      <c r="BZ480" s="5" t="str">
        <f t="shared" si="729"/>
        <v>x</v>
      </c>
      <c r="CA480" s="5" t="str">
        <f t="shared" si="729"/>
        <v>x</v>
      </c>
      <c r="CB480" s="5" t="str">
        <f t="shared" si="729"/>
        <v>x</v>
      </c>
      <c r="CC480" s="5" t="str">
        <f>""</f>
        <v/>
      </c>
      <c r="CD480" s="5" t="str">
        <f>"50,00"</f>
        <v>50,00</v>
      </c>
      <c r="CE480" s="5" t="str">
        <f>"2017"</f>
        <v>2017</v>
      </c>
      <c r="CF480" s="5" t="str">
        <f>""</f>
        <v/>
      </c>
      <c r="CG480" s="5" t="str">
        <f>"50,00"</f>
        <v>50,00</v>
      </c>
      <c r="CH480" s="5" t="str">
        <f>"2017"</f>
        <v>2017</v>
      </c>
      <c r="CI480" s="5" t="str">
        <f>"50,00"</f>
        <v>50,00</v>
      </c>
      <c r="CJ480" s="5" t="str">
        <f>"2018"</f>
        <v>2018</v>
      </c>
    </row>
    <row r="481" spans="1:88" ht="11.25" customHeight="1">
      <c r="A481" s="3" t="str">
        <f>"1.468"</f>
        <v>1.468</v>
      </c>
      <c r="B481" s="4" t="str">
        <f>"пгт. Вохтога, пер. Колхозный, д.2"</f>
        <v>пгт. Вохтога, пер. Колхозный, д.2</v>
      </c>
      <c r="C481" s="7" t="str">
        <f>"1991"</f>
        <v>1991</v>
      </c>
      <c r="D481" s="5" t="str">
        <f>""</f>
        <v/>
      </c>
      <c r="E481" s="5" t="str">
        <f>"55,00"</f>
        <v>55,00</v>
      </c>
      <c r="F481" s="5" t="str">
        <f>"2022"</f>
        <v>2022</v>
      </c>
      <c r="G481" s="5" t="str">
        <f t="shared" ref="G481:G489" si="742">"нет"</f>
        <v>нет</v>
      </c>
      <c r="H481" s="5" t="str">
        <f>""</f>
        <v/>
      </c>
      <c r="I481" s="5" t="str">
        <f>""</f>
        <v/>
      </c>
      <c r="J481" s="5" t="str">
        <f>""</f>
        <v/>
      </c>
      <c r="K481" s="5" t="str">
        <f t="shared" ref="K481:K489" si="743">"нет"</f>
        <v>нет</v>
      </c>
      <c r="L481" s="5" t="str">
        <f>""</f>
        <v/>
      </c>
      <c r="M481" s="5" t="str">
        <f>""</f>
        <v/>
      </c>
      <c r="N481" s="5" t="str">
        <f>""</f>
        <v/>
      </c>
      <c r="O481" s="8" t="str">
        <f>""</f>
        <v/>
      </c>
      <c r="P481" s="5" t="str">
        <f>""</f>
        <v/>
      </c>
      <c r="Q481" s="5" t="str">
        <f>""</f>
        <v/>
      </c>
      <c r="R481" s="5" t="str">
        <f>""</f>
        <v/>
      </c>
      <c r="S481" s="5" t="str">
        <f>""</f>
        <v/>
      </c>
      <c r="T481" s="5" t="str">
        <f>""</f>
        <v/>
      </c>
      <c r="U481" s="5" t="str">
        <f>""</f>
        <v/>
      </c>
      <c r="V481" s="5" t="str">
        <f>""</f>
        <v/>
      </c>
      <c r="W481" s="5" t="str">
        <f>""</f>
        <v/>
      </c>
      <c r="X481" s="5" t="str">
        <f>""</f>
        <v/>
      </c>
      <c r="Y481" s="9" t="str">
        <f>""</f>
        <v/>
      </c>
      <c r="Z481" s="5" t="str">
        <f>""</f>
        <v/>
      </c>
      <c r="AA481" s="5" t="str">
        <f>""</f>
        <v/>
      </c>
      <c r="AB481" s="5" t="str">
        <f>""</f>
        <v/>
      </c>
      <c r="AC481" s="5" t="str">
        <f>""</f>
        <v/>
      </c>
      <c r="AD481" s="5" t="str">
        <f>""</f>
        <v/>
      </c>
      <c r="AE481" s="5" t="str">
        <f>""</f>
        <v/>
      </c>
      <c r="AF481" s="5" t="str">
        <f>""</f>
        <v/>
      </c>
      <c r="AG481" s="5" t="str">
        <f>""</f>
        <v/>
      </c>
      <c r="AH481" s="5" t="str">
        <f>""</f>
        <v/>
      </c>
      <c r="AI481" s="5" t="str">
        <f>""</f>
        <v/>
      </c>
      <c r="AJ481" s="5" t="str">
        <f>""</f>
        <v/>
      </c>
      <c r="AK481" s="8" t="str">
        <f>""</f>
        <v/>
      </c>
      <c r="AL481" s="5" t="str">
        <f>"64,00"</f>
        <v>64,00</v>
      </c>
      <c r="AM481" s="5" t="str">
        <f>"2022"</f>
        <v>2022</v>
      </c>
      <c r="AN481" s="5" t="str">
        <f t="shared" ref="AN481:AN495" si="744">"нет"</f>
        <v>нет</v>
      </c>
      <c r="AO481" s="5" t="str">
        <f>""</f>
        <v/>
      </c>
      <c r="AP481" s="5" t="str">
        <f>""</f>
        <v/>
      </c>
      <c r="AQ481" s="5" t="str">
        <f>""</f>
        <v/>
      </c>
      <c r="AR481" s="5" t="str">
        <f t="shared" ref="AR481:AR495" si="745">"нет"</f>
        <v>нет</v>
      </c>
      <c r="AS481" s="5" t="str">
        <f>""</f>
        <v/>
      </c>
      <c r="AT481" s="5" t="str">
        <f>""</f>
        <v/>
      </c>
      <c r="AU481" s="5" t="str">
        <f>""</f>
        <v/>
      </c>
      <c r="AV481" s="5" t="str">
        <f t="shared" ref="AV481:BF489" si="746">"х"</f>
        <v>х</v>
      </c>
      <c r="AW481" s="5" t="str">
        <f t="shared" si="746"/>
        <v>х</v>
      </c>
      <c r="AX481" s="5" t="str">
        <f t="shared" si="746"/>
        <v>х</v>
      </c>
      <c r="AY481" s="5" t="str">
        <f t="shared" si="746"/>
        <v>х</v>
      </c>
      <c r="AZ481" s="5" t="str">
        <f t="shared" si="746"/>
        <v>х</v>
      </c>
      <c r="BA481" s="5" t="str">
        <f t="shared" si="746"/>
        <v>х</v>
      </c>
      <c r="BB481" s="5" t="str">
        <f t="shared" si="746"/>
        <v>х</v>
      </c>
      <c r="BC481" s="5" t="str">
        <f t="shared" si="746"/>
        <v>х</v>
      </c>
      <c r="BD481" s="5" t="str">
        <f t="shared" si="746"/>
        <v>х</v>
      </c>
      <c r="BE481" s="5" t="str">
        <f t="shared" si="746"/>
        <v>х</v>
      </c>
      <c r="BF481" s="5" t="str">
        <f t="shared" si="746"/>
        <v>х</v>
      </c>
      <c r="BG481" s="5" t="str">
        <f>""</f>
        <v/>
      </c>
      <c r="BH481" s="5" t="str">
        <f>""</f>
        <v/>
      </c>
      <c r="BI481" s="5" t="str">
        <f>""</f>
        <v/>
      </c>
      <c r="BJ481" s="5" t="str">
        <f>""</f>
        <v/>
      </c>
      <c r="BK481" s="5" t="str">
        <f>""</f>
        <v/>
      </c>
      <c r="BL481" s="5" t="str">
        <f>""</f>
        <v/>
      </c>
      <c r="BM481" s="5" t="str">
        <f>""</f>
        <v/>
      </c>
      <c r="BN481" s="5" t="str">
        <f>""</f>
        <v/>
      </c>
      <c r="BO481" s="5" t="str">
        <f>""</f>
        <v/>
      </c>
      <c r="BP481" s="5" t="str">
        <f>""</f>
        <v/>
      </c>
      <c r="BQ481" s="5" t="str">
        <f>""</f>
        <v/>
      </c>
      <c r="BR481" s="5" t="str">
        <f>""</f>
        <v/>
      </c>
      <c r="BS481" s="5" t="str">
        <f>"65,00"</f>
        <v>65,00</v>
      </c>
      <c r="BT481" s="5" t="str">
        <f>"2017"</f>
        <v>2017</v>
      </c>
      <c r="BU481" s="5" t="str">
        <f t="shared" si="689"/>
        <v>нет</v>
      </c>
      <c r="BV481" s="5" t="str">
        <f t="shared" si="741"/>
        <v>x</v>
      </c>
      <c r="BW481" s="5" t="str">
        <f t="shared" si="741"/>
        <v>x</v>
      </c>
      <c r="BX481" s="5" t="str">
        <f t="shared" si="741"/>
        <v>x</v>
      </c>
      <c r="BY481" s="5" t="str">
        <f t="shared" si="728"/>
        <v>нет</v>
      </c>
      <c r="BZ481" s="5" t="str">
        <f t="shared" si="729"/>
        <v>x</v>
      </c>
      <c r="CA481" s="5" t="str">
        <f t="shared" si="729"/>
        <v>x</v>
      </c>
      <c r="CB481" s="5" t="str">
        <f t="shared" si="729"/>
        <v>x</v>
      </c>
      <c r="CC481" s="5" t="str">
        <f>""</f>
        <v/>
      </c>
      <c r="CD481" s="5" t="str">
        <f>"68,00"</f>
        <v>68,00</v>
      </c>
      <c r="CE481" s="5" t="str">
        <f>"2022"</f>
        <v>2022</v>
      </c>
      <c r="CF481" s="5" t="str">
        <f>""</f>
        <v/>
      </c>
      <c r="CG481" s="5" t="str">
        <f>"62,00"</f>
        <v>62,00</v>
      </c>
      <c r="CH481" s="5" t="str">
        <f>"2022"</f>
        <v>2022</v>
      </c>
      <c r="CI481" s="5" t="str">
        <f>"64,00"</f>
        <v>64,00</v>
      </c>
      <c r="CJ481" s="5" t="str">
        <f>"2022"</f>
        <v>2022</v>
      </c>
    </row>
    <row r="482" spans="1:88" ht="11.25" customHeight="1">
      <c r="A482" s="3" t="str">
        <f>"1.469"</f>
        <v>1.469</v>
      </c>
      <c r="B482" s="4" t="str">
        <f>"пгт. Вохтога, пер. Пионерский, д.3"</f>
        <v>пгт. Вохтога, пер. Пионерский, д.3</v>
      </c>
      <c r="C482" s="7" t="str">
        <f>"1959"</f>
        <v>1959</v>
      </c>
      <c r="D482" s="5" t="str">
        <f>""</f>
        <v/>
      </c>
      <c r="E482" s="5" t="str">
        <f>"55,00"</f>
        <v>55,00</v>
      </c>
      <c r="F482" s="5" t="str">
        <f>"2020"</f>
        <v>2020</v>
      </c>
      <c r="G482" s="5" t="str">
        <f t="shared" si="742"/>
        <v>нет</v>
      </c>
      <c r="H482" s="5" t="str">
        <f>""</f>
        <v/>
      </c>
      <c r="I482" s="5" t="str">
        <f>""</f>
        <v/>
      </c>
      <c r="J482" s="5" t="str">
        <f>""</f>
        <v/>
      </c>
      <c r="K482" s="5" t="str">
        <f t="shared" si="743"/>
        <v>нет</v>
      </c>
      <c r="L482" s="5" t="str">
        <f>""</f>
        <v/>
      </c>
      <c r="M482" s="5" t="str">
        <f>""</f>
        <v/>
      </c>
      <c r="N482" s="5" t="str">
        <f>""</f>
        <v/>
      </c>
      <c r="O482" s="8" t="str">
        <f>""</f>
        <v/>
      </c>
      <c r="P482" s="5" t="str">
        <f>""</f>
        <v/>
      </c>
      <c r="Q482" s="5" t="str">
        <f>""</f>
        <v/>
      </c>
      <c r="R482" s="5" t="str">
        <f>""</f>
        <v/>
      </c>
      <c r="S482" s="5" t="str">
        <f>""</f>
        <v/>
      </c>
      <c r="T482" s="5" t="str">
        <f>""</f>
        <v/>
      </c>
      <c r="U482" s="5" t="str">
        <f>""</f>
        <v/>
      </c>
      <c r="V482" s="5" t="str">
        <f>""</f>
        <v/>
      </c>
      <c r="W482" s="5" t="str">
        <f>""</f>
        <v/>
      </c>
      <c r="X482" s="5" t="str">
        <f>""</f>
        <v/>
      </c>
      <c r="Y482" s="9" t="str">
        <f>""</f>
        <v/>
      </c>
      <c r="Z482" s="5" t="str">
        <f>""</f>
        <v/>
      </c>
      <c r="AA482" s="5" t="str">
        <f>""</f>
        <v/>
      </c>
      <c r="AB482" s="5" t="str">
        <f>""</f>
        <v/>
      </c>
      <c r="AC482" s="5" t="str">
        <f>""</f>
        <v/>
      </c>
      <c r="AD482" s="5" t="str">
        <f>""</f>
        <v/>
      </c>
      <c r="AE482" s="5" t="str">
        <f>""</f>
        <v/>
      </c>
      <c r="AF482" s="5" t="str">
        <f>""</f>
        <v/>
      </c>
      <c r="AG482" s="5" t="str">
        <f>""</f>
        <v/>
      </c>
      <c r="AH482" s="5" t="str">
        <f>""</f>
        <v/>
      </c>
      <c r="AI482" s="5" t="str">
        <f>""</f>
        <v/>
      </c>
      <c r="AJ482" s="5" t="str">
        <f>""</f>
        <v/>
      </c>
      <c r="AK482" s="8" t="str">
        <f>""</f>
        <v/>
      </c>
      <c r="AL482" s="5" t="str">
        <f>"55,00"</f>
        <v>55,00</v>
      </c>
      <c r="AM482" s="5" t="str">
        <f>"2020"</f>
        <v>2020</v>
      </c>
      <c r="AN482" s="5" t="str">
        <f t="shared" si="744"/>
        <v>нет</v>
      </c>
      <c r="AO482" s="5" t="str">
        <f>""</f>
        <v/>
      </c>
      <c r="AP482" s="5" t="str">
        <f>""</f>
        <v/>
      </c>
      <c r="AQ482" s="5" t="str">
        <f>""</f>
        <v/>
      </c>
      <c r="AR482" s="5" t="str">
        <f t="shared" si="745"/>
        <v>нет</v>
      </c>
      <c r="AS482" s="5" t="str">
        <f>""</f>
        <v/>
      </c>
      <c r="AT482" s="5" t="str">
        <f>""</f>
        <v/>
      </c>
      <c r="AU482" s="5" t="str">
        <f>""</f>
        <v/>
      </c>
      <c r="AV482" s="5" t="str">
        <f t="shared" si="746"/>
        <v>х</v>
      </c>
      <c r="AW482" s="5" t="str">
        <f t="shared" si="746"/>
        <v>х</v>
      </c>
      <c r="AX482" s="5" t="str">
        <f t="shared" si="746"/>
        <v>х</v>
      </c>
      <c r="AY482" s="5" t="str">
        <f t="shared" si="746"/>
        <v>х</v>
      </c>
      <c r="AZ482" s="5" t="str">
        <f t="shared" si="746"/>
        <v>х</v>
      </c>
      <c r="BA482" s="5" t="str">
        <f t="shared" si="746"/>
        <v>х</v>
      </c>
      <c r="BB482" s="5" t="str">
        <f t="shared" si="746"/>
        <v>х</v>
      </c>
      <c r="BC482" s="5" t="str">
        <f t="shared" si="746"/>
        <v>х</v>
      </c>
      <c r="BD482" s="5" t="str">
        <f t="shared" si="746"/>
        <v>х</v>
      </c>
      <c r="BE482" s="5" t="str">
        <f t="shared" si="746"/>
        <v>х</v>
      </c>
      <c r="BF482" s="5" t="str">
        <f t="shared" si="746"/>
        <v>х</v>
      </c>
      <c r="BG482" s="5" t="str">
        <f>""</f>
        <v/>
      </c>
      <c r="BH482" s="5" t="str">
        <f>""</f>
        <v/>
      </c>
      <c r="BI482" s="5" t="str">
        <f>""</f>
        <v/>
      </c>
      <c r="BJ482" s="5" t="str">
        <f>""</f>
        <v/>
      </c>
      <c r="BK482" s="5" t="str">
        <f>""</f>
        <v/>
      </c>
      <c r="BL482" s="5" t="str">
        <f>""</f>
        <v/>
      </c>
      <c r="BM482" s="5" t="str">
        <f>""</f>
        <v/>
      </c>
      <c r="BN482" s="5" t="str">
        <f>""</f>
        <v/>
      </c>
      <c r="BO482" s="5" t="str">
        <f>""</f>
        <v/>
      </c>
      <c r="BP482" s="5" t="str">
        <f>""</f>
        <v/>
      </c>
      <c r="BQ482" s="5" t="str">
        <f>""</f>
        <v/>
      </c>
      <c r="BR482" s="5" t="str">
        <f>""</f>
        <v/>
      </c>
      <c r="BS482" s="5" t="str">
        <f>"55,00"</f>
        <v>55,00</v>
      </c>
      <c r="BT482" s="5" t="str">
        <f>"2018"</f>
        <v>2018</v>
      </c>
      <c r="BU482" s="5" t="str">
        <f t="shared" si="689"/>
        <v>нет</v>
      </c>
      <c r="BV482" s="5" t="str">
        <f t="shared" si="741"/>
        <v>x</v>
      </c>
      <c r="BW482" s="5" t="str">
        <f t="shared" si="741"/>
        <v>x</v>
      </c>
      <c r="BX482" s="5" t="str">
        <f t="shared" si="741"/>
        <v>x</v>
      </c>
      <c r="BY482" s="5" t="str">
        <f t="shared" si="728"/>
        <v>нет</v>
      </c>
      <c r="BZ482" s="5" t="str">
        <f t="shared" si="729"/>
        <v>x</v>
      </c>
      <c r="CA482" s="5" t="str">
        <f t="shared" si="729"/>
        <v>x</v>
      </c>
      <c r="CB482" s="5" t="str">
        <f t="shared" si="729"/>
        <v>x</v>
      </c>
      <c r="CC482" s="5" t="str">
        <f>""</f>
        <v/>
      </c>
      <c r="CD482" s="5" t="str">
        <f>"55,00"</f>
        <v>55,00</v>
      </c>
      <c r="CE482" s="5" t="str">
        <f>"2020"</f>
        <v>2020</v>
      </c>
      <c r="CF482" s="5" t="str">
        <f>""</f>
        <v/>
      </c>
      <c r="CG482" s="5" t="str">
        <f>"55,00"</f>
        <v>55,00</v>
      </c>
      <c r="CH482" s="5" t="str">
        <f>"2020"</f>
        <v>2020</v>
      </c>
      <c r="CI482" s="5" t="str">
        <f>"55,00"</f>
        <v>55,00</v>
      </c>
      <c r="CJ482" s="5" t="str">
        <f>"2020"</f>
        <v>2020</v>
      </c>
    </row>
    <row r="483" spans="1:88" ht="11.25" customHeight="1">
      <c r="A483" s="3" t="str">
        <f>"1.470"</f>
        <v>1.470</v>
      </c>
      <c r="B483" s="4" t="str">
        <f>"пгт. Вохтога, пер. Пионерский, д.9"</f>
        <v>пгт. Вохтога, пер. Пионерский, д.9</v>
      </c>
      <c r="C483" s="7" t="str">
        <f>"1960"</f>
        <v>1960</v>
      </c>
      <c r="D483" s="5" t="str">
        <f>""</f>
        <v/>
      </c>
      <c r="E483" s="5" t="str">
        <f>"59,00"</f>
        <v>59,00</v>
      </c>
      <c r="F483" s="5" t="str">
        <f>"2019"</f>
        <v>2019</v>
      </c>
      <c r="G483" s="5" t="str">
        <f t="shared" si="742"/>
        <v>нет</v>
      </c>
      <c r="H483" s="5" t="str">
        <f>""</f>
        <v/>
      </c>
      <c r="I483" s="5" t="str">
        <f>""</f>
        <v/>
      </c>
      <c r="J483" s="5" t="str">
        <f>""</f>
        <v/>
      </c>
      <c r="K483" s="5" t="str">
        <f t="shared" si="743"/>
        <v>нет</v>
      </c>
      <c r="L483" s="5" t="str">
        <f>""</f>
        <v/>
      </c>
      <c r="M483" s="5" t="str">
        <f>""</f>
        <v/>
      </c>
      <c r="N483" s="5" t="str">
        <f>""</f>
        <v/>
      </c>
      <c r="O483" s="8" t="str">
        <f>""</f>
        <v/>
      </c>
      <c r="P483" s="5" t="str">
        <f>""</f>
        <v/>
      </c>
      <c r="Q483" s="5" t="str">
        <f>""</f>
        <v/>
      </c>
      <c r="R483" s="5" t="str">
        <f>""</f>
        <v/>
      </c>
      <c r="S483" s="5" t="str">
        <f>""</f>
        <v/>
      </c>
      <c r="T483" s="5" t="str">
        <f>""</f>
        <v/>
      </c>
      <c r="U483" s="5" t="str">
        <f>""</f>
        <v/>
      </c>
      <c r="V483" s="5" t="str">
        <f>""</f>
        <v/>
      </c>
      <c r="W483" s="5" t="str">
        <f>""</f>
        <v/>
      </c>
      <c r="X483" s="5" t="str">
        <f>""</f>
        <v/>
      </c>
      <c r="Y483" s="9" t="str">
        <f>""</f>
        <v/>
      </c>
      <c r="Z483" s="5" t="str">
        <f>""</f>
        <v/>
      </c>
      <c r="AA483" s="5" t="str">
        <f>""</f>
        <v/>
      </c>
      <c r="AB483" s="5" t="str">
        <f>""</f>
        <v/>
      </c>
      <c r="AC483" s="5" t="str">
        <f>""</f>
        <v/>
      </c>
      <c r="AD483" s="5" t="str">
        <f>""</f>
        <v/>
      </c>
      <c r="AE483" s="5" t="str">
        <f>""</f>
        <v/>
      </c>
      <c r="AF483" s="5" t="str">
        <f>""</f>
        <v/>
      </c>
      <c r="AG483" s="5" t="str">
        <f>""</f>
        <v/>
      </c>
      <c r="AH483" s="5" t="str">
        <f>""</f>
        <v/>
      </c>
      <c r="AI483" s="5" t="str">
        <f>""</f>
        <v/>
      </c>
      <c r="AJ483" s="5" t="str">
        <f>""</f>
        <v/>
      </c>
      <c r="AK483" s="8" t="str">
        <f>""</f>
        <v/>
      </c>
      <c r="AL483" s="5" t="str">
        <f>"59,00"</f>
        <v>59,00</v>
      </c>
      <c r="AM483" s="5" t="str">
        <f>"2019"</f>
        <v>2019</v>
      </c>
      <c r="AN483" s="5" t="str">
        <f t="shared" si="744"/>
        <v>нет</v>
      </c>
      <c r="AO483" s="5" t="str">
        <f>""</f>
        <v/>
      </c>
      <c r="AP483" s="5" t="str">
        <f>""</f>
        <v/>
      </c>
      <c r="AQ483" s="5" t="str">
        <f>""</f>
        <v/>
      </c>
      <c r="AR483" s="5" t="str">
        <f t="shared" si="745"/>
        <v>нет</v>
      </c>
      <c r="AS483" s="5" t="str">
        <f>""</f>
        <v/>
      </c>
      <c r="AT483" s="5" t="str">
        <f>""</f>
        <v/>
      </c>
      <c r="AU483" s="5" t="str">
        <f>""</f>
        <v/>
      </c>
      <c r="AV483" s="5" t="str">
        <f t="shared" si="746"/>
        <v>х</v>
      </c>
      <c r="AW483" s="5" t="str">
        <f t="shared" si="746"/>
        <v>х</v>
      </c>
      <c r="AX483" s="5" t="str">
        <f t="shared" si="746"/>
        <v>х</v>
      </c>
      <c r="AY483" s="5" t="str">
        <f t="shared" si="746"/>
        <v>х</v>
      </c>
      <c r="AZ483" s="5" t="str">
        <f t="shared" si="746"/>
        <v>х</v>
      </c>
      <c r="BA483" s="5" t="str">
        <f t="shared" si="746"/>
        <v>х</v>
      </c>
      <c r="BB483" s="5" t="str">
        <f t="shared" si="746"/>
        <v>х</v>
      </c>
      <c r="BC483" s="5" t="str">
        <f t="shared" si="746"/>
        <v>х</v>
      </c>
      <c r="BD483" s="5" t="str">
        <f t="shared" si="746"/>
        <v>х</v>
      </c>
      <c r="BE483" s="5" t="str">
        <f t="shared" si="746"/>
        <v>х</v>
      </c>
      <c r="BF483" s="5" t="str">
        <f t="shared" si="746"/>
        <v>х</v>
      </c>
      <c r="BG483" s="5" t="str">
        <f>""</f>
        <v/>
      </c>
      <c r="BH483" s="5" t="str">
        <f>""</f>
        <v/>
      </c>
      <c r="BI483" s="5" t="str">
        <f>""</f>
        <v/>
      </c>
      <c r="BJ483" s="5" t="str">
        <f>""</f>
        <v/>
      </c>
      <c r="BK483" s="5" t="str">
        <f>""</f>
        <v/>
      </c>
      <c r="BL483" s="5" t="str">
        <f>""</f>
        <v/>
      </c>
      <c r="BM483" s="5" t="str">
        <f>""</f>
        <v/>
      </c>
      <c r="BN483" s="5" t="str">
        <f>""</f>
        <v/>
      </c>
      <c r="BO483" s="5" t="str">
        <f>""</f>
        <v/>
      </c>
      <c r="BP483" s="5" t="str">
        <f>""</f>
        <v/>
      </c>
      <c r="BQ483" s="5" t="str">
        <f>""</f>
        <v/>
      </c>
      <c r="BR483" s="5" t="str">
        <f>""</f>
        <v/>
      </c>
      <c r="BS483" s="5" t="str">
        <f>"59,00"</f>
        <v>59,00</v>
      </c>
      <c r="BT483" s="5" t="str">
        <f>"2018"</f>
        <v>2018</v>
      </c>
      <c r="BU483" s="5" t="str">
        <f t="shared" si="689"/>
        <v>нет</v>
      </c>
      <c r="BV483" s="5" t="str">
        <f t="shared" si="741"/>
        <v>x</v>
      </c>
      <c r="BW483" s="5" t="str">
        <f t="shared" si="741"/>
        <v>x</v>
      </c>
      <c r="BX483" s="5" t="str">
        <f t="shared" si="741"/>
        <v>x</v>
      </c>
      <c r="BY483" s="5" t="str">
        <f t="shared" si="728"/>
        <v>нет</v>
      </c>
      <c r="BZ483" s="5" t="str">
        <f t="shared" si="729"/>
        <v>x</v>
      </c>
      <c r="CA483" s="5" t="str">
        <f t="shared" si="729"/>
        <v>x</v>
      </c>
      <c r="CB483" s="5" t="str">
        <f t="shared" si="729"/>
        <v>x</v>
      </c>
      <c r="CC483" s="5" t="str">
        <f>""</f>
        <v/>
      </c>
      <c r="CD483" s="5" t="str">
        <f>"59,00"</f>
        <v>59,00</v>
      </c>
      <c r="CE483" s="5" t="str">
        <f>"2019"</f>
        <v>2019</v>
      </c>
      <c r="CF483" s="5" t="str">
        <f>""</f>
        <v/>
      </c>
      <c r="CG483" s="5" t="str">
        <f>"59,00"</f>
        <v>59,00</v>
      </c>
      <c r="CH483" s="5" t="str">
        <f>"2019"</f>
        <v>2019</v>
      </c>
      <c r="CI483" s="5" t="str">
        <f>"59,00"</f>
        <v>59,00</v>
      </c>
      <c r="CJ483" s="5" t="str">
        <f>"2019"</f>
        <v>2019</v>
      </c>
    </row>
    <row r="484" spans="1:88" ht="11.25" customHeight="1">
      <c r="A484" s="3" t="str">
        <f>"1.471"</f>
        <v>1.471</v>
      </c>
      <c r="B484" s="4" t="str">
        <f>"пгт. Вохтога, пер. Советский, д.6"</f>
        <v>пгт. Вохтога, пер. Советский, д.6</v>
      </c>
      <c r="C484" s="7" t="str">
        <f>"1986"</f>
        <v>1986</v>
      </c>
      <c r="D484" s="5" t="str">
        <f>""</f>
        <v/>
      </c>
      <c r="E484" s="5" t="str">
        <f>"52,00"</f>
        <v>52,00</v>
      </c>
      <c r="F484" s="5" t="str">
        <f>"2028"</f>
        <v>2028</v>
      </c>
      <c r="G484" s="5" t="str">
        <f t="shared" si="742"/>
        <v>нет</v>
      </c>
      <c r="H484" s="5" t="str">
        <f>""</f>
        <v/>
      </c>
      <c r="I484" s="5" t="str">
        <f>""</f>
        <v/>
      </c>
      <c r="J484" s="5" t="str">
        <f>""</f>
        <v/>
      </c>
      <c r="K484" s="5" t="str">
        <f t="shared" si="743"/>
        <v>нет</v>
      </c>
      <c r="L484" s="5" t="str">
        <f>""</f>
        <v/>
      </c>
      <c r="M484" s="5" t="str">
        <f>""</f>
        <v/>
      </c>
      <c r="N484" s="5" t="str">
        <f>""</f>
        <v/>
      </c>
      <c r="O484" s="8" t="str">
        <f>""</f>
        <v/>
      </c>
      <c r="P484" s="5" t="str">
        <f>""</f>
        <v/>
      </c>
      <c r="Q484" s="5" t="str">
        <f>""</f>
        <v/>
      </c>
      <c r="R484" s="5" t="str">
        <f>""</f>
        <v/>
      </c>
      <c r="S484" s="5" t="str">
        <f>""</f>
        <v/>
      </c>
      <c r="T484" s="5" t="str">
        <f>""</f>
        <v/>
      </c>
      <c r="U484" s="5" t="str">
        <f>""</f>
        <v/>
      </c>
      <c r="V484" s="5" t="str">
        <f>""</f>
        <v/>
      </c>
      <c r="W484" s="5" t="str">
        <f>""</f>
        <v/>
      </c>
      <c r="X484" s="5" t="str">
        <f>""</f>
        <v/>
      </c>
      <c r="Y484" s="9" t="str">
        <f>""</f>
        <v/>
      </c>
      <c r="Z484" s="5" t="str">
        <f>""</f>
        <v/>
      </c>
      <c r="AA484" s="5" t="str">
        <f>""</f>
        <v/>
      </c>
      <c r="AB484" s="5" t="str">
        <f>""</f>
        <v/>
      </c>
      <c r="AC484" s="5" t="str">
        <f>""</f>
        <v/>
      </c>
      <c r="AD484" s="5" t="str">
        <f>""</f>
        <v/>
      </c>
      <c r="AE484" s="5" t="str">
        <f>""</f>
        <v/>
      </c>
      <c r="AF484" s="5" t="str">
        <f>""</f>
        <v/>
      </c>
      <c r="AG484" s="5" t="str">
        <f>""</f>
        <v/>
      </c>
      <c r="AH484" s="5" t="str">
        <f>""</f>
        <v/>
      </c>
      <c r="AI484" s="5" t="str">
        <f>""</f>
        <v/>
      </c>
      <c r="AJ484" s="5" t="str">
        <f>""</f>
        <v/>
      </c>
      <c r="AK484" s="8" t="str">
        <f>""</f>
        <v/>
      </c>
      <c r="AL484" s="5" t="str">
        <f>"52,00"</f>
        <v>52,00</v>
      </c>
      <c r="AM484" s="5" t="str">
        <f>"2028"</f>
        <v>2028</v>
      </c>
      <c r="AN484" s="5" t="str">
        <f t="shared" si="744"/>
        <v>нет</v>
      </c>
      <c r="AO484" s="5" t="str">
        <f>""</f>
        <v/>
      </c>
      <c r="AP484" s="5" t="str">
        <f>""</f>
        <v/>
      </c>
      <c r="AQ484" s="5" t="str">
        <f>""</f>
        <v/>
      </c>
      <c r="AR484" s="5" t="str">
        <f t="shared" si="745"/>
        <v>нет</v>
      </c>
      <c r="AS484" s="5" t="str">
        <f>""</f>
        <v/>
      </c>
      <c r="AT484" s="5" t="str">
        <f>""</f>
        <v/>
      </c>
      <c r="AU484" s="5" t="str">
        <f>""</f>
        <v/>
      </c>
      <c r="AV484" s="5" t="str">
        <f t="shared" si="746"/>
        <v>х</v>
      </c>
      <c r="AW484" s="5" t="str">
        <f t="shared" si="746"/>
        <v>х</v>
      </c>
      <c r="AX484" s="5" t="str">
        <f t="shared" si="746"/>
        <v>х</v>
      </c>
      <c r="AY484" s="5" t="str">
        <f t="shared" si="746"/>
        <v>х</v>
      </c>
      <c r="AZ484" s="5" t="str">
        <f t="shared" si="746"/>
        <v>х</v>
      </c>
      <c r="BA484" s="5" t="str">
        <f t="shared" si="746"/>
        <v>х</v>
      </c>
      <c r="BB484" s="5" t="str">
        <f t="shared" si="746"/>
        <v>х</v>
      </c>
      <c r="BC484" s="5" t="str">
        <f t="shared" si="746"/>
        <v>х</v>
      </c>
      <c r="BD484" s="5" t="str">
        <f t="shared" si="746"/>
        <v>х</v>
      </c>
      <c r="BE484" s="5" t="str">
        <f t="shared" si="746"/>
        <v>х</v>
      </c>
      <c r="BF484" s="5" t="str">
        <f t="shared" si="746"/>
        <v>х</v>
      </c>
      <c r="BG484" s="5" t="str">
        <f>""</f>
        <v/>
      </c>
      <c r="BH484" s="5" t="str">
        <f>""</f>
        <v/>
      </c>
      <c r="BI484" s="5" t="str">
        <f>""</f>
        <v/>
      </c>
      <c r="BJ484" s="5" t="str">
        <f>""</f>
        <v/>
      </c>
      <c r="BK484" s="5" t="str">
        <f>""</f>
        <v/>
      </c>
      <c r="BL484" s="5" t="str">
        <f>""</f>
        <v/>
      </c>
      <c r="BM484" s="5" t="str">
        <f>""</f>
        <v/>
      </c>
      <c r="BN484" s="5" t="str">
        <f>""</f>
        <v/>
      </c>
      <c r="BO484" s="5" t="str">
        <f>""</f>
        <v/>
      </c>
      <c r="BP484" s="5" t="str">
        <f>""</f>
        <v/>
      </c>
      <c r="BQ484" s="5" t="str">
        <f>""</f>
        <v/>
      </c>
      <c r="BR484" s="5" t="str">
        <f>""</f>
        <v/>
      </c>
      <c r="BS484" s="5" t="str">
        <f>"52,00"</f>
        <v>52,00</v>
      </c>
      <c r="BT484" s="5" t="str">
        <f>"2028"</f>
        <v>2028</v>
      </c>
      <c r="BU484" s="5" t="str">
        <f t="shared" si="689"/>
        <v>нет</v>
      </c>
      <c r="BV484" s="5" t="str">
        <f t="shared" si="741"/>
        <v>x</v>
      </c>
      <c r="BW484" s="5" t="str">
        <f t="shared" si="741"/>
        <v>x</v>
      </c>
      <c r="BX484" s="5" t="str">
        <f t="shared" si="741"/>
        <v>x</v>
      </c>
      <c r="BY484" s="5" t="str">
        <f t="shared" si="728"/>
        <v>нет</v>
      </c>
      <c r="BZ484" s="5" t="str">
        <f t="shared" si="729"/>
        <v>x</v>
      </c>
      <c r="CA484" s="5" t="str">
        <f t="shared" si="729"/>
        <v>x</v>
      </c>
      <c r="CB484" s="5" t="str">
        <f t="shared" si="729"/>
        <v>x</v>
      </c>
      <c r="CC484" s="5" t="str">
        <f>"2010"</f>
        <v>2010</v>
      </c>
      <c r="CD484" s="5" t="str">
        <f>"52,00"</f>
        <v>52,00</v>
      </c>
      <c r="CE484" s="5" t="str">
        <f>"2028"</f>
        <v>2028</v>
      </c>
      <c r="CF484" s="5" t="str">
        <f>"2010"</f>
        <v>2010</v>
      </c>
      <c r="CG484" s="5" t="str">
        <f>"52,00"</f>
        <v>52,00</v>
      </c>
      <c r="CH484" s="5" t="str">
        <f>"2028"</f>
        <v>2028</v>
      </c>
      <c r="CI484" s="5" t="str">
        <f>"52,00"</f>
        <v>52,00</v>
      </c>
      <c r="CJ484" s="5" t="str">
        <f>"2028"</f>
        <v>2028</v>
      </c>
    </row>
    <row r="485" spans="1:88" ht="11.25" customHeight="1">
      <c r="A485" s="3" t="str">
        <f>"1.472"</f>
        <v>1.472</v>
      </c>
      <c r="B485" s="4" t="str">
        <f>"пгт. Вохтога, переулок. Свободы, д.21"</f>
        <v>пгт. Вохтога, переулок. Свободы, д.21</v>
      </c>
      <c r="C485" s="7" t="str">
        <f>"1984"</f>
        <v>1984</v>
      </c>
      <c r="D485" s="5" t="str">
        <f>""</f>
        <v/>
      </c>
      <c r="E485" s="5" t="str">
        <f>"73,00"</f>
        <v>73,00</v>
      </c>
      <c r="F485" s="5" t="str">
        <f>"2015"</f>
        <v>2015</v>
      </c>
      <c r="G485" s="5" t="str">
        <f t="shared" si="742"/>
        <v>нет</v>
      </c>
      <c r="H485" s="5" t="str">
        <f>""</f>
        <v/>
      </c>
      <c r="I485" s="5" t="str">
        <f>""</f>
        <v/>
      </c>
      <c r="J485" s="5" t="str">
        <f>""</f>
        <v/>
      </c>
      <c r="K485" s="5" t="str">
        <f t="shared" si="743"/>
        <v>нет</v>
      </c>
      <c r="L485" s="5" t="str">
        <f>""</f>
        <v/>
      </c>
      <c r="M485" s="5" t="str">
        <f>""</f>
        <v/>
      </c>
      <c r="N485" s="5" t="str">
        <f>""</f>
        <v/>
      </c>
      <c r="O485" s="8" t="str">
        <f>""</f>
        <v/>
      </c>
      <c r="P485" s="5" t="str">
        <f>""</f>
        <v/>
      </c>
      <c r="Q485" s="5" t="str">
        <f>""</f>
        <v/>
      </c>
      <c r="R485" s="5" t="str">
        <f>""</f>
        <v/>
      </c>
      <c r="S485" s="5" t="str">
        <f>""</f>
        <v/>
      </c>
      <c r="T485" s="5" t="str">
        <f>""</f>
        <v/>
      </c>
      <c r="U485" s="5" t="str">
        <f>""</f>
        <v/>
      </c>
      <c r="V485" s="5" t="str">
        <f>""</f>
        <v/>
      </c>
      <c r="W485" s="5" t="str">
        <f>""</f>
        <v/>
      </c>
      <c r="X485" s="5" t="str">
        <f>""</f>
        <v/>
      </c>
      <c r="Y485" s="9" t="str">
        <f>""</f>
        <v/>
      </c>
      <c r="Z485" s="5" t="str">
        <f>""</f>
        <v/>
      </c>
      <c r="AA485" s="5" t="str">
        <f>""</f>
        <v/>
      </c>
      <c r="AB485" s="5" t="str">
        <f>""</f>
        <v/>
      </c>
      <c r="AC485" s="5" t="str">
        <f>""</f>
        <v/>
      </c>
      <c r="AD485" s="5" t="str">
        <f>""</f>
        <v/>
      </c>
      <c r="AE485" s="5" t="str">
        <f>""</f>
        <v/>
      </c>
      <c r="AF485" s="5" t="str">
        <f>""</f>
        <v/>
      </c>
      <c r="AG485" s="5" t="str">
        <f>""</f>
        <v/>
      </c>
      <c r="AH485" s="5" t="str">
        <f>""</f>
        <v/>
      </c>
      <c r="AI485" s="5" t="str">
        <f>""</f>
        <v/>
      </c>
      <c r="AJ485" s="5" t="str">
        <f>""</f>
        <v/>
      </c>
      <c r="AK485" s="8" t="str">
        <f>""</f>
        <v/>
      </c>
      <c r="AL485" s="5" t="str">
        <f>"73,00"</f>
        <v>73,00</v>
      </c>
      <c r="AM485" s="5" t="str">
        <f>"2022"</f>
        <v>2022</v>
      </c>
      <c r="AN485" s="5" t="str">
        <f t="shared" si="744"/>
        <v>нет</v>
      </c>
      <c r="AO485" s="5" t="str">
        <f>""</f>
        <v/>
      </c>
      <c r="AP485" s="5" t="str">
        <f>""</f>
        <v/>
      </c>
      <c r="AQ485" s="5" t="str">
        <f>""</f>
        <v/>
      </c>
      <c r="AR485" s="5" t="str">
        <f t="shared" si="745"/>
        <v>нет</v>
      </c>
      <c r="AS485" s="5" t="str">
        <f>""</f>
        <v/>
      </c>
      <c r="AT485" s="5" t="str">
        <f>""</f>
        <v/>
      </c>
      <c r="AU485" s="5" t="str">
        <f>""</f>
        <v/>
      </c>
      <c r="AV485" s="5" t="str">
        <f t="shared" si="746"/>
        <v>х</v>
      </c>
      <c r="AW485" s="5" t="str">
        <f t="shared" si="746"/>
        <v>х</v>
      </c>
      <c r="AX485" s="5" t="str">
        <f t="shared" si="746"/>
        <v>х</v>
      </c>
      <c r="AY485" s="5" t="str">
        <f t="shared" si="746"/>
        <v>х</v>
      </c>
      <c r="AZ485" s="5" t="str">
        <f t="shared" si="746"/>
        <v>х</v>
      </c>
      <c r="BA485" s="5" t="str">
        <f t="shared" si="746"/>
        <v>х</v>
      </c>
      <c r="BB485" s="5" t="str">
        <f t="shared" si="746"/>
        <v>х</v>
      </c>
      <c r="BC485" s="5" t="str">
        <f t="shared" si="746"/>
        <v>х</v>
      </c>
      <c r="BD485" s="5" t="str">
        <f t="shared" si="746"/>
        <v>х</v>
      </c>
      <c r="BE485" s="5" t="str">
        <f t="shared" si="746"/>
        <v>х</v>
      </c>
      <c r="BF485" s="5" t="str">
        <f t="shared" si="746"/>
        <v>х</v>
      </c>
      <c r="BG485" s="5" t="str">
        <f>""</f>
        <v/>
      </c>
      <c r="BH485" s="5" t="str">
        <f>""</f>
        <v/>
      </c>
      <c r="BI485" s="5" t="str">
        <f>""</f>
        <v/>
      </c>
      <c r="BJ485" s="5" t="str">
        <f>""</f>
        <v/>
      </c>
      <c r="BK485" s="5" t="str">
        <f>""</f>
        <v/>
      </c>
      <c r="BL485" s="5" t="str">
        <f>""</f>
        <v/>
      </c>
      <c r="BM485" s="5" t="str">
        <f>""</f>
        <v/>
      </c>
      <c r="BN485" s="5" t="str">
        <f>""</f>
        <v/>
      </c>
      <c r="BO485" s="5" t="str">
        <f>""</f>
        <v/>
      </c>
      <c r="BP485" s="5" t="str">
        <f>""</f>
        <v/>
      </c>
      <c r="BQ485" s="5" t="str">
        <f>""</f>
        <v/>
      </c>
      <c r="BR485" s="5" t="str">
        <f>""</f>
        <v/>
      </c>
      <c r="BS485" s="5" t="str">
        <f>"73,00"</f>
        <v>73,00</v>
      </c>
      <c r="BT485" s="5" t="str">
        <f>"2015"</f>
        <v>2015</v>
      </c>
      <c r="BU485" s="5" t="str">
        <f t="shared" si="689"/>
        <v>нет</v>
      </c>
      <c r="BV485" s="5" t="str">
        <f t="shared" si="741"/>
        <v>x</v>
      </c>
      <c r="BW485" s="5" t="str">
        <f t="shared" si="741"/>
        <v>x</v>
      </c>
      <c r="BX485" s="5" t="str">
        <f t="shared" si="741"/>
        <v>x</v>
      </c>
      <c r="BY485" s="5" t="str">
        <f t="shared" si="728"/>
        <v>нет</v>
      </c>
      <c r="BZ485" s="5" t="str">
        <f t="shared" si="729"/>
        <v>x</v>
      </c>
      <c r="CA485" s="5" t="str">
        <f t="shared" si="729"/>
        <v>x</v>
      </c>
      <c r="CB485" s="5" t="str">
        <f t="shared" si="729"/>
        <v>x</v>
      </c>
      <c r="CC485" s="5" t="str">
        <f>""</f>
        <v/>
      </c>
      <c r="CD485" s="5" t="str">
        <f>"73,00"</f>
        <v>73,00</v>
      </c>
      <c r="CE485" s="5" t="str">
        <f>"2029"</f>
        <v>2029</v>
      </c>
      <c r="CF485" s="5" t="str">
        <f>""</f>
        <v/>
      </c>
      <c r="CG485" s="5" t="str">
        <f>"73,00"</f>
        <v>73,00</v>
      </c>
      <c r="CH485" s="5" t="str">
        <f>"2029"</f>
        <v>2029</v>
      </c>
      <c r="CI485" s="5" t="str">
        <f>"73,00"</f>
        <v>73,00</v>
      </c>
      <c r="CJ485" s="5" t="str">
        <f>"2029"</f>
        <v>2029</v>
      </c>
    </row>
    <row r="486" spans="1:88" ht="11.25" customHeight="1">
      <c r="A486" s="3" t="str">
        <f>"1.473"</f>
        <v>1.473</v>
      </c>
      <c r="B486" s="4" t="str">
        <f>"пгт. Вохтога, ул. 24 Партсъезда, д.18"</f>
        <v>пгт. Вохтога, ул. 24 Партсъезда, д.18</v>
      </c>
      <c r="C486" s="7" t="str">
        <f>"1971"</f>
        <v>1971</v>
      </c>
      <c r="D486" s="5" t="str">
        <f>""</f>
        <v/>
      </c>
      <c r="E486" s="5" t="str">
        <f>"25,00"</f>
        <v>25,00</v>
      </c>
      <c r="F486" s="5" t="str">
        <f>"2039"</f>
        <v>2039</v>
      </c>
      <c r="G486" s="5" t="str">
        <f t="shared" si="742"/>
        <v>нет</v>
      </c>
      <c r="H486" s="5" t="str">
        <f>""</f>
        <v/>
      </c>
      <c r="I486" s="5" t="str">
        <f>""</f>
        <v/>
      </c>
      <c r="J486" s="5" t="str">
        <f>""</f>
        <v/>
      </c>
      <c r="K486" s="5" t="str">
        <f t="shared" si="743"/>
        <v>нет</v>
      </c>
      <c r="L486" s="5" t="str">
        <f>""</f>
        <v/>
      </c>
      <c r="M486" s="5" t="str">
        <f>""</f>
        <v/>
      </c>
      <c r="N486" s="5" t="str">
        <f>""</f>
        <v/>
      </c>
      <c r="O486" s="8" t="str">
        <f>""</f>
        <v/>
      </c>
      <c r="P486" s="5" t="str">
        <f>"65,00"</f>
        <v>65,00</v>
      </c>
      <c r="Q486" s="5" t="str">
        <f>"2019"</f>
        <v>2019</v>
      </c>
      <c r="R486" s="5" t="str">
        <f>"нет"</f>
        <v>нет</v>
      </c>
      <c r="S486" s="5" t="str">
        <f>""</f>
        <v/>
      </c>
      <c r="T486" s="5" t="str">
        <f>""</f>
        <v/>
      </c>
      <c r="U486" s="5" t="str">
        <f>""</f>
        <v/>
      </c>
      <c r="V486" s="5" t="str">
        <f>"нет"</f>
        <v>нет</v>
      </c>
      <c r="W486" s="5" t="str">
        <f>""</f>
        <v/>
      </c>
      <c r="X486" s="5" t="str">
        <f>""</f>
        <v/>
      </c>
      <c r="Y486" s="9" t="str">
        <f>""</f>
        <v/>
      </c>
      <c r="Z486" s="5" t="str">
        <f>""</f>
        <v/>
      </c>
      <c r="AA486" s="5" t="str">
        <f>""</f>
        <v/>
      </c>
      <c r="AB486" s="5" t="str">
        <f>""</f>
        <v/>
      </c>
      <c r="AC486" s="5" t="str">
        <f>""</f>
        <v/>
      </c>
      <c r="AD486" s="5" t="str">
        <f>""</f>
        <v/>
      </c>
      <c r="AE486" s="5" t="str">
        <f>""</f>
        <v/>
      </c>
      <c r="AF486" s="5" t="str">
        <f>""</f>
        <v/>
      </c>
      <c r="AG486" s="5" t="str">
        <f>""</f>
        <v/>
      </c>
      <c r="AH486" s="5" t="str">
        <f>""</f>
        <v/>
      </c>
      <c r="AI486" s="5" t="str">
        <f>""</f>
        <v/>
      </c>
      <c r="AJ486" s="5" t="str">
        <f>""</f>
        <v/>
      </c>
      <c r="AK486" s="8" t="str">
        <f>""</f>
        <v/>
      </c>
      <c r="AL486" s="5" t="str">
        <f>"35,00"</f>
        <v>35,00</v>
      </c>
      <c r="AM486" s="5" t="str">
        <f>"2039"</f>
        <v>2039</v>
      </c>
      <c r="AN486" s="5" t="str">
        <f t="shared" si="744"/>
        <v>нет</v>
      </c>
      <c r="AO486" s="5" t="str">
        <f>""</f>
        <v/>
      </c>
      <c r="AP486" s="5" t="str">
        <f>""</f>
        <v/>
      </c>
      <c r="AQ486" s="5" t="str">
        <f>""</f>
        <v/>
      </c>
      <c r="AR486" s="5" t="str">
        <f t="shared" si="745"/>
        <v>нет</v>
      </c>
      <c r="AS486" s="5" t="str">
        <f>""</f>
        <v/>
      </c>
      <c r="AT486" s="5" t="str">
        <f>""</f>
        <v/>
      </c>
      <c r="AU486" s="5" t="str">
        <f>""</f>
        <v/>
      </c>
      <c r="AV486" s="5" t="str">
        <f t="shared" si="746"/>
        <v>х</v>
      </c>
      <c r="AW486" s="5" t="str">
        <f t="shared" si="746"/>
        <v>х</v>
      </c>
      <c r="AX486" s="5" t="str">
        <f t="shared" si="746"/>
        <v>х</v>
      </c>
      <c r="AY486" s="5" t="str">
        <f t="shared" si="746"/>
        <v>х</v>
      </c>
      <c r="AZ486" s="5" t="str">
        <f t="shared" si="746"/>
        <v>х</v>
      </c>
      <c r="BA486" s="5" t="str">
        <f t="shared" si="746"/>
        <v>х</v>
      </c>
      <c r="BB486" s="5" t="str">
        <f t="shared" si="746"/>
        <v>х</v>
      </c>
      <c r="BC486" s="5" t="str">
        <f t="shared" si="746"/>
        <v>х</v>
      </c>
      <c r="BD486" s="5" t="str">
        <f t="shared" si="746"/>
        <v>х</v>
      </c>
      <c r="BE486" s="5" t="str">
        <f t="shared" si="746"/>
        <v>х</v>
      </c>
      <c r="BF486" s="5" t="str">
        <f t="shared" si="746"/>
        <v>х</v>
      </c>
      <c r="BG486" s="5" t="str">
        <f>""</f>
        <v/>
      </c>
      <c r="BH486" s="5" t="str">
        <f>"25,00"</f>
        <v>25,00</v>
      </c>
      <c r="BI486" s="5" t="str">
        <f>"2039"</f>
        <v>2039</v>
      </c>
      <c r="BJ486" s="5" t="str">
        <f>"нет"</f>
        <v>нет</v>
      </c>
      <c r="BK486" s="5" t="str">
        <f>""</f>
        <v/>
      </c>
      <c r="BL486" s="5" t="str">
        <f>""</f>
        <v/>
      </c>
      <c r="BM486" s="5" t="str">
        <f>""</f>
        <v/>
      </c>
      <c r="BN486" s="5" t="str">
        <f>"нет"</f>
        <v>нет</v>
      </c>
      <c r="BO486" s="5" t="str">
        <f>""</f>
        <v/>
      </c>
      <c r="BP486" s="5" t="str">
        <f>""</f>
        <v/>
      </c>
      <c r="BQ486" s="5" t="str">
        <f>""</f>
        <v/>
      </c>
      <c r="BR486" s="5" t="str">
        <f>""</f>
        <v/>
      </c>
      <c r="BS486" s="5" t="str">
        <f>"63,00"</f>
        <v>63,00</v>
      </c>
      <c r="BT486" s="5" t="str">
        <f>"2019"</f>
        <v>2019</v>
      </c>
      <c r="BU486" s="5" t="str">
        <f t="shared" si="689"/>
        <v>нет</v>
      </c>
      <c r="BV486" s="5" t="str">
        <f t="shared" si="741"/>
        <v>x</v>
      </c>
      <c r="BW486" s="5" t="str">
        <f t="shared" si="741"/>
        <v>x</v>
      </c>
      <c r="BX486" s="5" t="str">
        <f t="shared" si="741"/>
        <v>x</v>
      </c>
      <c r="BY486" s="5" t="str">
        <f t="shared" si="728"/>
        <v>нет</v>
      </c>
      <c r="BZ486" s="5" t="str">
        <f t="shared" si="729"/>
        <v>x</v>
      </c>
      <c r="CA486" s="5" t="str">
        <f t="shared" si="729"/>
        <v>x</v>
      </c>
      <c r="CB486" s="5" t="str">
        <f t="shared" si="729"/>
        <v>x</v>
      </c>
      <c r="CC486" s="5" t="str">
        <f>""</f>
        <v/>
      </c>
      <c r="CD486" s="5" t="str">
        <f>"63,00"</f>
        <v>63,00</v>
      </c>
      <c r="CE486" s="5" t="str">
        <f>"2019"</f>
        <v>2019</v>
      </c>
      <c r="CF486" s="5" t="str">
        <f>""</f>
        <v/>
      </c>
      <c r="CG486" s="5" t="str">
        <f>"45,00"</f>
        <v>45,00</v>
      </c>
      <c r="CH486" s="5" t="str">
        <f>"2019"</f>
        <v>2019</v>
      </c>
      <c r="CI486" s="5" t="str">
        <f>"63,00"</f>
        <v>63,00</v>
      </c>
      <c r="CJ486" s="5" t="str">
        <f>"2019"</f>
        <v>2019</v>
      </c>
    </row>
    <row r="487" spans="1:88" ht="11.25" customHeight="1">
      <c r="A487" s="3" t="str">
        <f>"1.474"</f>
        <v>1.474</v>
      </c>
      <c r="B487" s="4" t="str">
        <f>"пгт. Вохтога, ул. 24 Партсъезда, д.20"</f>
        <v>пгт. Вохтога, ул. 24 Партсъезда, д.20</v>
      </c>
      <c r="C487" s="7" t="str">
        <f>"1971"</f>
        <v>1971</v>
      </c>
      <c r="D487" s="5" t="str">
        <f>""</f>
        <v/>
      </c>
      <c r="E487" s="5" t="str">
        <f>"43,00"</f>
        <v>43,00</v>
      </c>
      <c r="F487" s="5" t="str">
        <f>"2021"</f>
        <v>2021</v>
      </c>
      <c r="G487" s="5" t="str">
        <f t="shared" si="742"/>
        <v>нет</v>
      </c>
      <c r="H487" s="5" t="str">
        <f>""</f>
        <v/>
      </c>
      <c r="I487" s="5" t="str">
        <f>""</f>
        <v/>
      </c>
      <c r="J487" s="5" t="str">
        <f>""</f>
        <v/>
      </c>
      <c r="K487" s="5" t="str">
        <f t="shared" si="743"/>
        <v>нет</v>
      </c>
      <c r="L487" s="5" t="str">
        <f>""</f>
        <v/>
      </c>
      <c r="M487" s="5" t="str">
        <f>""</f>
        <v/>
      </c>
      <c r="N487" s="5" t="str">
        <f>""</f>
        <v/>
      </c>
      <c r="O487" s="8" t="str">
        <f>""</f>
        <v/>
      </c>
      <c r="P487" s="5" t="str">
        <f>"60,00"</f>
        <v>60,00</v>
      </c>
      <c r="Q487" s="5" t="str">
        <f>"2021"</f>
        <v>2021</v>
      </c>
      <c r="R487" s="5" t="str">
        <f>"нет"</f>
        <v>нет</v>
      </c>
      <c r="S487" s="5" t="str">
        <f>""</f>
        <v/>
      </c>
      <c r="T487" s="5" t="str">
        <f>""</f>
        <v/>
      </c>
      <c r="U487" s="5" t="str">
        <f>""</f>
        <v/>
      </c>
      <c r="V487" s="5" t="str">
        <f>"нет"</f>
        <v>нет</v>
      </c>
      <c r="W487" s="5" t="str">
        <f>""</f>
        <v/>
      </c>
      <c r="X487" s="5" t="str">
        <f>""</f>
        <v/>
      </c>
      <c r="Y487" s="9" t="str">
        <f>""</f>
        <v/>
      </c>
      <c r="Z487" s="5" t="str">
        <f>""</f>
        <v/>
      </c>
      <c r="AA487" s="5" t="str">
        <f>""</f>
        <v/>
      </c>
      <c r="AB487" s="5" t="str">
        <f>""</f>
        <v/>
      </c>
      <c r="AC487" s="5" t="str">
        <f>""</f>
        <v/>
      </c>
      <c r="AD487" s="5" t="str">
        <f>""</f>
        <v/>
      </c>
      <c r="AE487" s="5" t="str">
        <f>""</f>
        <v/>
      </c>
      <c r="AF487" s="5" t="str">
        <f>""</f>
        <v/>
      </c>
      <c r="AG487" s="5" t="str">
        <f>""</f>
        <v/>
      </c>
      <c r="AH487" s="5" t="str">
        <f>""</f>
        <v/>
      </c>
      <c r="AI487" s="5" t="str">
        <f>""</f>
        <v/>
      </c>
      <c r="AJ487" s="5" t="str">
        <f>""</f>
        <v/>
      </c>
      <c r="AK487" s="8" t="str">
        <f>""</f>
        <v/>
      </c>
      <c r="AL487" s="5" t="str">
        <f>"35,00"</f>
        <v>35,00</v>
      </c>
      <c r="AM487" s="5" t="str">
        <f>"2022"</f>
        <v>2022</v>
      </c>
      <c r="AN487" s="5" t="str">
        <f t="shared" si="744"/>
        <v>нет</v>
      </c>
      <c r="AO487" s="5" t="str">
        <f>""</f>
        <v/>
      </c>
      <c r="AP487" s="5" t="str">
        <f>""</f>
        <v/>
      </c>
      <c r="AQ487" s="5" t="str">
        <f>""</f>
        <v/>
      </c>
      <c r="AR487" s="5" t="str">
        <f t="shared" si="745"/>
        <v>нет</v>
      </c>
      <c r="AS487" s="5" t="str">
        <f>""</f>
        <v/>
      </c>
      <c r="AT487" s="5" t="str">
        <f>""</f>
        <v/>
      </c>
      <c r="AU487" s="5" t="str">
        <f>""</f>
        <v/>
      </c>
      <c r="AV487" s="5" t="str">
        <f t="shared" si="746"/>
        <v>х</v>
      </c>
      <c r="AW487" s="5" t="str">
        <f t="shared" si="746"/>
        <v>х</v>
      </c>
      <c r="AX487" s="5" t="str">
        <f t="shared" si="746"/>
        <v>х</v>
      </c>
      <c r="AY487" s="5" t="str">
        <f t="shared" si="746"/>
        <v>х</v>
      </c>
      <c r="AZ487" s="5" t="str">
        <f t="shared" si="746"/>
        <v>х</v>
      </c>
      <c r="BA487" s="5" t="str">
        <f t="shared" si="746"/>
        <v>х</v>
      </c>
      <c r="BB487" s="5" t="str">
        <f t="shared" si="746"/>
        <v>х</v>
      </c>
      <c r="BC487" s="5" t="str">
        <f t="shared" si="746"/>
        <v>х</v>
      </c>
      <c r="BD487" s="5" t="str">
        <f t="shared" si="746"/>
        <v>х</v>
      </c>
      <c r="BE487" s="5" t="str">
        <f t="shared" si="746"/>
        <v>х</v>
      </c>
      <c r="BF487" s="5" t="str">
        <f t="shared" si="746"/>
        <v>х</v>
      </c>
      <c r="BG487" s="5" t="str">
        <f>""</f>
        <v/>
      </c>
      <c r="BH487" s="5" t="str">
        <f>"20,00"</f>
        <v>20,00</v>
      </c>
      <c r="BI487" s="5" t="str">
        <f>"2036"</f>
        <v>2036</v>
      </c>
      <c r="BJ487" s="5" t="str">
        <f>"нет"</f>
        <v>нет</v>
      </c>
      <c r="BK487" s="5" t="str">
        <f>""</f>
        <v/>
      </c>
      <c r="BL487" s="5" t="str">
        <f>""</f>
        <v/>
      </c>
      <c r="BM487" s="5" t="str">
        <f>""</f>
        <v/>
      </c>
      <c r="BN487" s="5" t="str">
        <f>"нет"</f>
        <v>нет</v>
      </c>
      <c r="BO487" s="5" t="str">
        <f>""</f>
        <v/>
      </c>
      <c r="BP487" s="5" t="str">
        <f>""</f>
        <v/>
      </c>
      <c r="BQ487" s="5" t="str">
        <f>""</f>
        <v/>
      </c>
      <c r="BR487" s="5" t="str">
        <f>""</f>
        <v/>
      </c>
      <c r="BS487" s="5" t="str">
        <f>"58,00"</f>
        <v>58,00</v>
      </c>
      <c r="BT487" s="5" t="str">
        <f>"2022"</f>
        <v>2022</v>
      </c>
      <c r="BU487" s="5" t="str">
        <f t="shared" si="689"/>
        <v>нет</v>
      </c>
      <c r="BV487" s="5" t="str">
        <f t="shared" si="741"/>
        <v>x</v>
      </c>
      <c r="BW487" s="5" t="str">
        <f t="shared" si="741"/>
        <v>x</v>
      </c>
      <c r="BX487" s="5" t="str">
        <f t="shared" si="741"/>
        <v>x</v>
      </c>
      <c r="BY487" s="5" t="str">
        <f t="shared" si="728"/>
        <v>нет</v>
      </c>
      <c r="BZ487" s="5" t="str">
        <f t="shared" si="729"/>
        <v>x</v>
      </c>
      <c r="CA487" s="5" t="str">
        <f t="shared" si="729"/>
        <v>x</v>
      </c>
      <c r="CB487" s="5" t="str">
        <f t="shared" si="729"/>
        <v>x</v>
      </c>
      <c r="CC487" s="5" t="str">
        <f>""</f>
        <v/>
      </c>
      <c r="CD487" s="5" t="str">
        <f>"54,00"</f>
        <v>54,00</v>
      </c>
      <c r="CE487" s="5" t="str">
        <f>"2021"</f>
        <v>2021</v>
      </c>
      <c r="CF487" s="5" t="str">
        <f>""</f>
        <v/>
      </c>
      <c r="CG487" s="5" t="str">
        <f>"50,00"</f>
        <v>50,00</v>
      </c>
      <c r="CH487" s="5" t="str">
        <f>"2021"</f>
        <v>2021</v>
      </c>
      <c r="CI487" s="5" t="str">
        <f>"60,00"</f>
        <v>60,00</v>
      </c>
      <c r="CJ487" s="5" t="str">
        <f>"2021"</f>
        <v>2021</v>
      </c>
    </row>
    <row r="488" spans="1:88" ht="11.25" customHeight="1">
      <c r="A488" s="3" t="str">
        <f>"1.475"</f>
        <v>1.475</v>
      </c>
      <c r="B488" s="4" t="str">
        <f>"пгт. Вохтога, ул. 24 Партсъезда, д.8"</f>
        <v>пгт. Вохтога, ул. 24 Партсъезда, д.8</v>
      </c>
      <c r="C488" s="7" t="str">
        <f>"1971"</f>
        <v>1971</v>
      </c>
      <c r="D488" s="5" t="str">
        <f>""</f>
        <v/>
      </c>
      <c r="E488" s="5" t="str">
        <f>"45,00"</f>
        <v>45,00</v>
      </c>
      <c r="F488" s="5" t="str">
        <f>"2020"</f>
        <v>2020</v>
      </c>
      <c r="G488" s="5" t="str">
        <f t="shared" si="742"/>
        <v>нет</v>
      </c>
      <c r="H488" s="5" t="str">
        <f>""</f>
        <v/>
      </c>
      <c r="I488" s="5" t="str">
        <f>""</f>
        <v/>
      </c>
      <c r="J488" s="5" t="str">
        <f>""</f>
        <v/>
      </c>
      <c r="K488" s="5" t="str">
        <f t="shared" si="743"/>
        <v>нет</v>
      </c>
      <c r="L488" s="5" t="str">
        <f>""</f>
        <v/>
      </c>
      <c r="M488" s="5" t="str">
        <f>""</f>
        <v/>
      </c>
      <c r="N488" s="5" t="str">
        <f>""</f>
        <v/>
      </c>
      <c r="O488" s="8" t="str">
        <f>""</f>
        <v/>
      </c>
      <c r="P488" s="5" t="str">
        <f>"64,00"</f>
        <v>64,00</v>
      </c>
      <c r="Q488" s="5" t="str">
        <f>"2022"</f>
        <v>2022</v>
      </c>
      <c r="R488" s="5" t="str">
        <f>"нет"</f>
        <v>нет</v>
      </c>
      <c r="S488" s="5" t="str">
        <f>""</f>
        <v/>
      </c>
      <c r="T488" s="5" t="str">
        <f>""</f>
        <v/>
      </c>
      <c r="U488" s="5" t="str">
        <f>""</f>
        <v/>
      </c>
      <c r="V488" s="5" t="str">
        <f>"нет"</f>
        <v>нет</v>
      </c>
      <c r="W488" s="5" t="str">
        <f>""</f>
        <v/>
      </c>
      <c r="X488" s="5" t="str">
        <f>""</f>
        <v/>
      </c>
      <c r="Y488" s="9" t="str">
        <f>""</f>
        <v/>
      </c>
      <c r="Z488" s="5" t="str">
        <f>""</f>
        <v/>
      </c>
      <c r="AA488" s="5" t="str">
        <f>""</f>
        <v/>
      </c>
      <c r="AB488" s="5" t="str">
        <f>""</f>
        <v/>
      </c>
      <c r="AC488" s="5" t="str">
        <f>""</f>
        <v/>
      </c>
      <c r="AD488" s="5" t="str">
        <f>""</f>
        <v/>
      </c>
      <c r="AE488" s="5" t="str">
        <f>""</f>
        <v/>
      </c>
      <c r="AF488" s="5" t="str">
        <f>""</f>
        <v/>
      </c>
      <c r="AG488" s="5" t="str">
        <f>""</f>
        <v/>
      </c>
      <c r="AH488" s="5" t="str">
        <f>""</f>
        <v/>
      </c>
      <c r="AI488" s="5" t="str">
        <f>""</f>
        <v/>
      </c>
      <c r="AJ488" s="5" t="str">
        <f>""</f>
        <v/>
      </c>
      <c r="AK488" s="8" t="str">
        <f>""</f>
        <v/>
      </c>
      <c r="AL488" s="5" t="str">
        <f>"20,00"</f>
        <v>20,00</v>
      </c>
      <c r="AM488" s="5" t="str">
        <f>"2035"</f>
        <v>2035</v>
      </c>
      <c r="AN488" s="5" t="str">
        <f t="shared" si="744"/>
        <v>нет</v>
      </c>
      <c r="AO488" s="5" t="str">
        <f>""</f>
        <v/>
      </c>
      <c r="AP488" s="5" t="str">
        <f>""</f>
        <v/>
      </c>
      <c r="AQ488" s="5" t="str">
        <f>""</f>
        <v/>
      </c>
      <c r="AR488" s="5" t="str">
        <f t="shared" si="745"/>
        <v>нет</v>
      </c>
      <c r="AS488" s="5" t="str">
        <f>""</f>
        <v/>
      </c>
      <c r="AT488" s="5" t="str">
        <f>""</f>
        <v/>
      </c>
      <c r="AU488" s="5" t="str">
        <f>""</f>
        <v/>
      </c>
      <c r="AV488" s="5" t="str">
        <f t="shared" si="746"/>
        <v>х</v>
      </c>
      <c r="AW488" s="5" t="str">
        <f t="shared" si="746"/>
        <v>х</v>
      </c>
      <c r="AX488" s="5" t="str">
        <f t="shared" si="746"/>
        <v>х</v>
      </c>
      <c r="AY488" s="5" t="str">
        <f t="shared" si="746"/>
        <v>х</v>
      </c>
      <c r="AZ488" s="5" t="str">
        <f t="shared" si="746"/>
        <v>х</v>
      </c>
      <c r="BA488" s="5" t="str">
        <f t="shared" si="746"/>
        <v>х</v>
      </c>
      <c r="BB488" s="5" t="str">
        <f t="shared" si="746"/>
        <v>х</v>
      </c>
      <c r="BC488" s="5" t="str">
        <f t="shared" si="746"/>
        <v>х</v>
      </c>
      <c r="BD488" s="5" t="str">
        <f t="shared" si="746"/>
        <v>х</v>
      </c>
      <c r="BE488" s="5" t="str">
        <f t="shared" si="746"/>
        <v>х</v>
      </c>
      <c r="BF488" s="5" t="str">
        <f t="shared" si="746"/>
        <v>х</v>
      </c>
      <c r="BG488" s="5" t="str">
        <f>""</f>
        <v/>
      </c>
      <c r="BH488" s="5" t="str">
        <f>"20,00"</f>
        <v>20,00</v>
      </c>
      <c r="BI488" s="5" t="str">
        <f>"2035"</f>
        <v>2035</v>
      </c>
      <c r="BJ488" s="5" t="str">
        <f>"нет"</f>
        <v>нет</v>
      </c>
      <c r="BK488" s="5" t="str">
        <f>""</f>
        <v/>
      </c>
      <c r="BL488" s="5" t="str">
        <f>""</f>
        <v/>
      </c>
      <c r="BM488" s="5" t="str">
        <f>""</f>
        <v/>
      </c>
      <c r="BN488" s="5" t="str">
        <f>"нет"</f>
        <v>нет</v>
      </c>
      <c r="BO488" s="5" t="str">
        <f>""</f>
        <v/>
      </c>
      <c r="BP488" s="5" t="str">
        <f>""</f>
        <v/>
      </c>
      <c r="BQ488" s="5" t="str">
        <f>""</f>
        <v/>
      </c>
      <c r="BR488" s="5" t="str">
        <f>""</f>
        <v/>
      </c>
      <c r="BS488" s="5" t="str">
        <f>"63,00"</f>
        <v>63,00</v>
      </c>
      <c r="BT488" s="5" t="str">
        <f>"2019"</f>
        <v>2019</v>
      </c>
      <c r="BU488" s="5" t="str">
        <f t="shared" si="689"/>
        <v>нет</v>
      </c>
      <c r="BV488" s="5" t="str">
        <f t="shared" si="741"/>
        <v>x</v>
      </c>
      <c r="BW488" s="5" t="str">
        <f t="shared" si="741"/>
        <v>x</v>
      </c>
      <c r="BX488" s="5" t="str">
        <f t="shared" si="741"/>
        <v>x</v>
      </c>
      <c r="BY488" s="5" t="str">
        <f t="shared" si="728"/>
        <v>нет</v>
      </c>
      <c r="BZ488" s="5" t="str">
        <f t="shared" si="729"/>
        <v>x</v>
      </c>
      <c r="CA488" s="5" t="str">
        <f t="shared" si="729"/>
        <v>x</v>
      </c>
      <c r="CB488" s="5" t="str">
        <f t="shared" si="729"/>
        <v>x</v>
      </c>
      <c r="CC488" s="5" t="str">
        <f>""</f>
        <v/>
      </c>
      <c r="CD488" s="5" t="str">
        <f>"63,00"</f>
        <v>63,00</v>
      </c>
      <c r="CE488" s="5" t="str">
        <f>"2020"</f>
        <v>2020</v>
      </c>
      <c r="CF488" s="5" t="str">
        <f>""</f>
        <v/>
      </c>
      <c r="CG488" s="5" t="str">
        <f>"63,00"</f>
        <v>63,00</v>
      </c>
      <c r="CH488" s="5" t="str">
        <f>"2020"</f>
        <v>2020</v>
      </c>
      <c r="CI488" s="5" t="str">
        <f>"63,00"</f>
        <v>63,00</v>
      </c>
      <c r="CJ488" s="5" t="str">
        <f>"2020"</f>
        <v>2020</v>
      </c>
    </row>
    <row r="489" spans="1:88" ht="11.25" customHeight="1">
      <c r="A489" s="3" t="str">
        <f>"1.476"</f>
        <v>1.476</v>
      </c>
      <c r="B489" s="4" t="str">
        <f>"пгт. Вохтога, ул. Домостроителей, д.12"</f>
        <v>пгт. Вохтога, ул. Домостроителей, д.12</v>
      </c>
      <c r="C489" s="7" t="str">
        <f>"2006"</f>
        <v>2006</v>
      </c>
      <c r="D489" s="5" t="str">
        <f>""</f>
        <v/>
      </c>
      <c r="E489" s="5" t="str">
        <f>"3,00"</f>
        <v>3,00</v>
      </c>
      <c r="F489" s="5" t="str">
        <f>"2030"</f>
        <v>2030</v>
      </c>
      <c r="G489" s="5" t="str">
        <f t="shared" si="742"/>
        <v>нет</v>
      </c>
      <c r="H489" s="5" t="str">
        <f>""</f>
        <v/>
      </c>
      <c r="I489" s="5" t="str">
        <f>""</f>
        <v/>
      </c>
      <c r="J489" s="5" t="str">
        <f>""</f>
        <v/>
      </c>
      <c r="K489" s="5" t="str">
        <f t="shared" si="743"/>
        <v>нет</v>
      </c>
      <c r="L489" s="5" t="str">
        <f>""</f>
        <v/>
      </c>
      <c r="M489" s="5" t="str">
        <f>""</f>
        <v/>
      </c>
      <c r="N489" s="5" t="str">
        <f>""</f>
        <v/>
      </c>
      <c r="O489" s="8" t="str">
        <f>""</f>
        <v/>
      </c>
      <c r="P489" s="5" t="str">
        <f>""</f>
        <v/>
      </c>
      <c r="Q489" s="5" t="str">
        <f>""</f>
        <v/>
      </c>
      <c r="R489" s="5" t="str">
        <f>""</f>
        <v/>
      </c>
      <c r="S489" s="5" t="str">
        <f>""</f>
        <v/>
      </c>
      <c r="T489" s="5" t="str">
        <f>""</f>
        <v/>
      </c>
      <c r="U489" s="5" t="str">
        <f>""</f>
        <v/>
      </c>
      <c r="V489" s="5" t="str">
        <f>""</f>
        <v/>
      </c>
      <c r="W489" s="5" t="str">
        <f>""</f>
        <v/>
      </c>
      <c r="X489" s="5" t="str">
        <f>""</f>
        <v/>
      </c>
      <c r="Y489" s="9" t="str">
        <f>""</f>
        <v/>
      </c>
      <c r="Z489" s="5" t="str">
        <f>""</f>
        <v/>
      </c>
      <c r="AA489" s="5" t="str">
        <f>""</f>
        <v/>
      </c>
      <c r="AB489" s="5" t="str">
        <f>""</f>
        <v/>
      </c>
      <c r="AC489" s="5" t="str">
        <f>""</f>
        <v/>
      </c>
      <c r="AD489" s="5" t="str">
        <f>""</f>
        <v/>
      </c>
      <c r="AE489" s="5" t="str">
        <f>""</f>
        <v/>
      </c>
      <c r="AF489" s="5" t="str">
        <f>""</f>
        <v/>
      </c>
      <c r="AG489" s="5" t="str">
        <f>""</f>
        <v/>
      </c>
      <c r="AH489" s="5" t="str">
        <f>""</f>
        <v/>
      </c>
      <c r="AI489" s="5" t="str">
        <f>""</f>
        <v/>
      </c>
      <c r="AJ489" s="5" t="str">
        <f>""</f>
        <v/>
      </c>
      <c r="AK489" s="8" t="str">
        <f>""</f>
        <v/>
      </c>
      <c r="AL489" s="5" t="str">
        <f>"3,00"</f>
        <v>3,00</v>
      </c>
      <c r="AM489" s="5" t="str">
        <f>"2042"</f>
        <v>2042</v>
      </c>
      <c r="AN489" s="5" t="str">
        <f t="shared" si="744"/>
        <v>нет</v>
      </c>
      <c r="AO489" s="5" t="str">
        <f>""</f>
        <v/>
      </c>
      <c r="AP489" s="5" t="str">
        <f>""</f>
        <v/>
      </c>
      <c r="AQ489" s="5" t="str">
        <f>""</f>
        <v/>
      </c>
      <c r="AR489" s="5" t="str">
        <f t="shared" si="745"/>
        <v>нет</v>
      </c>
      <c r="AS489" s="5" t="str">
        <f>""</f>
        <v/>
      </c>
      <c r="AT489" s="5" t="str">
        <f>""</f>
        <v/>
      </c>
      <c r="AU489" s="5" t="str">
        <f>""</f>
        <v/>
      </c>
      <c r="AV489" s="5" t="str">
        <f t="shared" si="746"/>
        <v>х</v>
      </c>
      <c r="AW489" s="5" t="str">
        <f t="shared" si="746"/>
        <v>х</v>
      </c>
      <c r="AX489" s="5" t="str">
        <f t="shared" si="746"/>
        <v>х</v>
      </c>
      <c r="AY489" s="5" t="str">
        <f t="shared" si="746"/>
        <v>х</v>
      </c>
      <c r="AZ489" s="5" t="str">
        <f t="shared" si="746"/>
        <v>х</v>
      </c>
      <c r="BA489" s="5" t="str">
        <f t="shared" si="746"/>
        <v>х</v>
      </c>
      <c r="BB489" s="5" t="str">
        <f t="shared" si="746"/>
        <v>х</v>
      </c>
      <c r="BC489" s="5" t="str">
        <f t="shared" si="746"/>
        <v>х</v>
      </c>
      <c r="BD489" s="5" t="str">
        <f t="shared" si="746"/>
        <v>х</v>
      </c>
      <c r="BE489" s="5" t="str">
        <f t="shared" si="746"/>
        <v>х</v>
      </c>
      <c r="BF489" s="5" t="str">
        <f t="shared" si="746"/>
        <v>х</v>
      </c>
      <c r="BG489" s="5" t="str">
        <f>""</f>
        <v/>
      </c>
      <c r="BH489" s="5" t="str">
        <f>""</f>
        <v/>
      </c>
      <c r="BI489" s="5" t="str">
        <f>""</f>
        <v/>
      </c>
      <c r="BJ489" s="5" t="str">
        <f>""</f>
        <v/>
      </c>
      <c r="BK489" s="5" t="str">
        <f>""</f>
        <v/>
      </c>
      <c r="BL489" s="5" t="str">
        <f>""</f>
        <v/>
      </c>
      <c r="BM489" s="5" t="str">
        <f>""</f>
        <v/>
      </c>
      <c r="BN489" s="5" t="str">
        <f>""</f>
        <v/>
      </c>
      <c r="BO489" s="5" t="str">
        <f>""</f>
        <v/>
      </c>
      <c r="BP489" s="5" t="str">
        <f>""</f>
        <v/>
      </c>
      <c r="BQ489" s="5" t="str">
        <f>""</f>
        <v/>
      </c>
      <c r="BR489" s="5" t="str">
        <f>""</f>
        <v/>
      </c>
      <c r="BS489" s="5" t="str">
        <f>"3,00"</f>
        <v>3,00</v>
      </c>
      <c r="BT489" s="5" t="str">
        <f>"2040"</f>
        <v>2040</v>
      </c>
      <c r="BU489" s="5" t="str">
        <f t="shared" si="689"/>
        <v>нет</v>
      </c>
      <c r="BV489" s="5" t="str">
        <f t="shared" si="741"/>
        <v>x</v>
      </c>
      <c r="BW489" s="5" t="str">
        <f t="shared" si="741"/>
        <v>x</v>
      </c>
      <c r="BX489" s="5" t="str">
        <f t="shared" si="741"/>
        <v>x</v>
      </c>
      <c r="BY489" s="5" t="str">
        <f t="shared" si="728"/>
        <v>нет</v>
      </c>
      <c r="BZ489" s="5" t="str">
        <f t="shared" si="729"/>
        <v>x</v>
      </c>
      <c r="CA489" s="5" t="str">
        <f t="shared" si="729"/>
        <v>x</v>
      </c>
      <c r="CB489" s="5" t="str">
        <f t="shared" si="729"/>
        <v>x</v>
      </c>
      <c r="CC489" s="5" t="str">
        <f>""</f>
        <v/>
      </c>
      <c r="CD489" s="5" t="str">
        <f>"3,00"</f>
        <v>3,00</v>
      </c>
      <c r="CE489" s="5" t="str">
        <f>"2030"</f>
        <v>2030</v>
      </c>
      <c r="CF489" s="5" t="str">
        <f>""</f>
        <v/>
      </c>
      <c r="CG489" s="5" t="str">
        <f>"3,00"</f>
        <v>3,00</v>
      </c>
      <c r="CH489" s="5" t="str">
        <f>"2040"</f>
        <v>2040</v>
      </c>
      <c r="CI489" s="5" t="str">
        <f>"3,00"</f>
        <v>3,00</v>
      </c>
      <c r="CJ489" s="5" t="str">
        <f>"2030"</f>
        <v>2030</v>
      </c>
    </row>
    <row r="490" spans="1:88" ht="11.25" customHeight="1">
      <c r="A490" s="3" t="str">
        <f>"1.477"</f>
        <v>1.477</v>
      </c>
      <c r="B490" s="4" t="str">
        <f>"пгт. Вохтога, ул. Домостроителей, д.3"</f>
        <v>пгт. Вохтога, ул. Домостроителей, д.3</v>
      </c>
      <c r="C490" s="7" t="str">
        <f>"1993"</f>
        <v>1993</v>
      </c>
      <c r="D490" s="5" t="str">
        <f>""</f>
        <v/>
      </c>
      <c r="E490" s="5" t="str">
        <f>"5,00"</f>
        <v>5,00</v>
      </c>
      <c r="F490" s="5" t="str">
        <f>"2020"</f>
        <v>2020</v>
      </c>
      <c r="G490" s="5" t="str">
        <f>"да"</f>
        <v>да</v>
      </c>
      <c r="H490" s="5" t="str">
        <f>"2010"</f>
        <v>2010</v>
      </c>
      <c r="I490" s="5" t="str">
        <f>"15,00"</f>
        <v>15,00</v>
      </c>
      <c r="J490" s="5" t="str">
        <f>"2020"</f>
        <v>2020</v>
      </c>
      <c r="K490" s="5" t="str">
        <f>"да"</f>
        <v>да</v>
      </c>
      <c r="L490" s="5" t="str">
        <f>""</f>
        <v/>
      </c>
      <c r="M490" s="5" t="str">
        <f>"25,00"</f>
        <v>25,00</v>
      </c>
      <c r="N490" s="5" t="str">
        <f>"2020"</f>
        <v>2020</v>
      </c>
      <c r="O490" s="8" t="str">
        <f>""</f>
        <v/>
      </c>
      <c r="P490" s="5" t="str">
        <f>"5,00"</f>
        <v>5,00</v>
      </c>
      <c r="Q490" s="5" t="str">
        <f>"2035"</f>
        <v>2035</v>
      </c>
      <c r="R490" s="5" t="str">
        <f>"нет"</f>
        <v>нет</v>
      </c>
      <c r="S490" s="5" t="str">
        <f>""</f>
        <v/>
      </c>
      <c r="T490" s="5" t="str">
        <f>""</f>
        <v/>
      </c>
      <c r="U490" s="5" t="str">
        <f>""</f>
        <v/>
      </c>
      <c r="V490" s="5" t="str">
        <f>"нет"</f>
        <v>нет</v>
      </c>
      <c r="W490" s="5" t="str">
        <f>""</f>
        <v/>
      </c>
      <c r="X490" s="5" t="str">
        <f>""</f>
        <v/>
      </c>
      <c r="Y490" s="9" t="str">
        <f>""</f>
        <v/>
      </c>
      <c r="Z490" s="5" t="str">
        <f>""</f>
        <v/>
      </c>
      <c r="AA490" s="5" t="str">
        <f>"5,00"</f>
        <v>5,00</v>
      </c>
      <c r="AB490" s="5" t="str">
        <f>"2040"</f>
        <v>2040</v>
      </c>
      <c r="AC490" s="5" t="str">
        <f>"нет"</f>
        <v>нет</v>
      </c>
      <c r="AD490" s="5" t="str">
        <f>""</f>
        <v/>
      </c>
      <c r="AE490" s="5" t="str">
        <f>""</f>
        <v/>
      </c>
      <c r="AF490" s="5" t="str">
        <f>""</f>
        <v/>
      </c>
      <c r="AG490" s="5" t="str">
        <f>"нет"</f>
        <v>нет</v>
      </c>
      <c r="AH490" s="5" t="str">
        <f>""</f>
        <v/>
      </c>
      <c r="AI490" s="5" t="str">
        <f>""</f>
        <v/>
      </c>
      <c r="AJ490" s="5" t="str">
        <f>""</f>
        <v/>
      </c>
      <c r="AK490" s="8" t="str">
        <f>""</f>
        <v/>
      </c>
      <c r="AL490" s="5" t="str">
        <f>"25,00"</f>
        <v>25,00</v>
      </c>
      <c r="AM490" s="5" t="str">
        <f>"2020"</f>
        <v>2020</v>
      </c>
      <c r="AN490" s="5" t="str">
        <f t="shared" si="744"/>
        <v>нет</v>
      </c>
      <c r="AO490" s="5" t="str">
        <f>""</f>
        <v/>
      </c>
      <c r="AP490" s="5" t="str">
        <f>""</f>
        <v/>
      </c>
      <c r="AQ490" s="5" t="str">
        <f>""</f>
        <v/>
      </c>
      <c r="AR490" s="5" t="str">
        <f t="shared" si="745"/>
        <v>нет</v>
      </c>
      <c r="AS490" s="5" t="str">
        <f>""</f>
        <v/>
      </c>
      <c r="AT490" s="5" t="str">
        <f>""</f>
        <v/>
      </c>
      <c r="AU490" s="5" t="str">
        <f>""</f>
        <v/>
      </c>
      <c r="AV490" s="5" t="str">
        <f>""</f>
        <v/>
      </c>
      <c r="AW490" s="5" t="str">
        <f>"25,00"</f>
        <v>25,00</v>
      </c>
      <c r="AX490" s="5" t="str">
        <f>"2020"</f>
        <v>2020</v>
      </c>
      <c r="AY490" s="5" t="str">
        <f>"нет"</f>
        <v>нет</v>
      </c>
      <c r="AZ490" s="5" t="str">
        <f>""</f>
        <v/>
      </c>
      <c r="BA490" s="5" t="str">
        <f>""</f>
        <v/>
      </c>
      <c r="BB490" s="5" t="str">
        <f>""</f>
        <v/>
      </c>
      <c r="BC490" s="5" t="str">
        <f>"да"</f>
        <v>да</v>
      </c>
      <c r="BD490" s="5" t="str">
        <f>""</f>
        <v/>
      </c>
      <c r="BE490" s="5" t="str">
        <f>"25,00"</f>
        <v>25,00</v>
      </c>
      <c r="BF490" s="5" t="str">
        <f>"2020"</f>
        <v>2020</v>
      </c>
      <c r="BG490" s="5" t="str">
        <f>""</f>
        <v/>
      </c>
      <c r="BH490" s="5" t="str">
        <f>"10,00"</f>
        <v>10,00</v>
      </c>
      <c r="BI490" s="5" t="str">
        <f>"2020"</f>
        <v>2020</v>
      </c>
      <c r="BJ490" s="5" t="str">
        <f>"нет"</f>
        <v>нет</v>
      </c>
      <c r="BK490" s="5" t="str">
        <f>""</f>
        <v/>
      </c>
      <c r="BL490" s="5" t="str">
        <f>""</f>
        <v/>
      </c>
      <c r="BM490" s="5" t="str">
        <f>""</f>
        <v/>
      </c>
      <c r="BN490" s="5" t="str">
        <f>"нет"</f>
        <v>нет</v>
      </c>
      <c r="BO490" s="5" t="str">
        <f>""</f>
        <v/>
      </c>
      <c r="BP490" s="5" t="str">
        <f>""</f>
        <v/>
      </c>
      <c r="BQ490" s="5" t="str">
        <f>""</f>
        <v/>
      </c>
      <c r="BR490" s="5" t="str">
        <f>"2010"</f>
        <v>2010</v>
      </c>
      <c r="BS490" s="5" t="str">
        <f>"6,00"</f>
        <v>6,00</v>
      </c>
      <c r="BT490" s="5" t="str">
        <f>"2040"</f>
        <v>2040</v>
      </c>
      <c r="BU490" s="5" t="str">
        <f t="shared" si="689"/>
        <v>нет</v>
      </c>
      <c r="BV490" s="5" t="str">
        <f t="shared" si="741"/>
        <v>x</v>
      </c>
      <c r="BW490" s="5" t="str">
        <f t="shared" si="741"/>
        <v>x</v>
      </c>
      <c r="BX490" s="5" t="str">
        <f t="shared" si="741"/>
        <v>x</v>
      </c>
      <c r="BY490" s="5" t="str">
        <f>"да"</f>
        <v>да</v>
      </c>
      <c r="BZ490" s="5" t="str">
        <f>""</f>
        <v/>
      </c>
      <c r="CA490" s="5" t="str">
        <f>"7,00"</f>
        <v>7,00</v>
      </c>
      <c r="CB490" s="5" t="str">
        <f>"2040"</f>
        <v>2040</v>
      </c>
      <c r="CC490" s="5" t="str">
        <f>""</f>
        <v/>
      </c>
      <c r="CD490" s="5" t="str">
        <f>"7,00"</f>
        <v>7,00</v>
      </c>
      <c r="CE490" s="5" t="str">
        <f>"2040"</f>
        <v>2040</v>
      </c>
      <c r="CF490" s="5" t="str">
        <f>""</f>
        <v/>
      </c>
      <c r="CG490" s="5" t="str">
        <f>"10,00"</f>
        <v>10,00</v>
      </c>
      <c r="CH490" s="5" t="str">
        <f>"2040"</f>
        <v>2040</v>
      </c>
      <c r="CI490" s="5" t="str">
        <f>"5,00"</f>
        <v>5,00</v>
      </c>
      <c r="CJ490" s="5" t="str">
        <f>"2020"</f>
        <v>2020</v>
      </c>
    </row>
    <row r="491" spans="1:88" ht="11.25" customHeight="1">
      <c r="A491" s="3" t="str">
        <f>"1.478"</f>
        <v>1.478</v>
      </c>
      <c r="B491" s="4" t="str">
        <f>"пгт. Вохтога, ул. Домостроителей, д.4"</f>
        <v>пгт. Вохтога, ул. Домостроителей, д.4</v>
      </c>
      <c r="C491" s="7" t="str">
        <f>"1998"</f>
        <v>1998</v>
      </c>
      <c r="D491" s="5" t="str">
        <f>""</f>
        <v/>
      </c>
      <c r="E491" s="5" t="str">
        <f>"5,00"</f>
        <v>5,00</v>
      </c>
      <c r="F491" s="5" t="str">
        <f>"2037"</f>
        <v>2037</v>
      </c>
      <c r="G491" s="5" t="str">
        <f t="shared" ref="G491:G512" si="747">"нет"</f>
        <v>нет</v>
      </c>
      <c r="H491" s="5" t="str">
        <f>""</f>
        <v/>
      </c>
      <c r="I491" s="5" t="str">
        <f>""</f>
        <v/>
      </c>
      <c r="J491" s="5" t="str">
        <f>""</f>
        <v/>
      </c>
      <c r="K491" s="5" t="str">
        <f t="shared" ref="K491:K512" si="748">"нет"</f>
        <v>нет</v>
      </c>
      <c r="L491" s="5" t="str">
        <f>""</f>
        <v/>
      </c>
      <c r="M491" s="5" t="str">
        <f>""</f>
        <v/>
      </c>
      <c r="N491" s="5" t="str">
        <f>""</f>
        <v/>
      </c>
      <c r="O491" s="8" t="str">
        <f>""</f>
        <v/>
      </c>
      <c r="P491" s="5" t="str">
        <f>""</f>
        <v/>
      </c>
      <c r="Q491" s="5" t="str">
        <f>""</f>
        <v/>
      </c>
      <c r="R491" s="5" t="str">
        <f>""</f>
        <v/>
      </c>
      <c r="S491" s="5" t="str">
        <f>""</f>
        <v/>
      </c>
      <c r="T491" s="5" t="str">
        <f>""</f>
        <v/>
      </c>
      <c r="U491" s="5" t="str">
        <f>""</f>
        <v/>
      </c>
      <c r="V491" s="5" t="str">
        <f>""</f>
        <v/>
      </c>
      <c r="W491" s="5" t="str">
        <f>""</f>
        <v/>
      </c>
      <c r="X491" s="5" t="str">
        <f>""</f>
        <v/>
      </c>
      <c r="Y491" s="9" t="str">
        <f>""</f>
        <v/>
      </c>
      <c r="Z491" s="5" t="str">
        <f>""</f>
        <v/>
      </c>
      <c r="AA491" s="5" t="str">
        <f>""</f>
        <v/>
      </c>
      <c r="AB491" s="5" t="str">
        <f>""</f>
        <v/>
      </c>
      <c r="AC491" s="5" t="str">
        <f>""</f>
        <v/>
      </c>
      <c r="AD491" s="5" t="str">
        <f>""</f>
        <v/>
      </c>
      <c r="AE491" s="5" t="str">
        <f>""</f>
        <v/>
      </c>
      <c r="AF491" s="5" t="str">
        <f>""</f>
        <v/>
      </c>
      <c r="AG491" s="5" t="str">
        <f>""</f>
        <v/>
      </c>
      <c r="AH491" s="5" t="str">
        <f>""</f>
        <v/>
      </c>
      <c r="AI491" s="5" t="str">
        <f>""</f>
        <v/>
      </c>
      <c r="AJ491" s="5" t="str">
        <f>""</f>
        <v/>
      </c>
      <c r="AK491" s="8" t="str">
        <f>""</f>
        <v/>
      </c>
      <c r="AL491" s="5" t="str">
        <f>"5,00"</f>
        <v>5,00</v>
      </c>
      <c r="AM491" s="5" t="str">
        <f>"2027"</f>
        <v>2027</v>
      </c>
      <c r="AN491" s="5" t="str">
        <f t="shared" si="744"/>
        <v>нет</v>
      </c>
      <c r="AO491" s="5" t="str">
        <f>""</f>
        <v/>
      </c>
      <c r="AP491" s="5" t="str">
        <f>""</f>
        <v/>
      </c>
      <c r="AQ491" s="5" t="str">
        <f>""</f>
        <v/>
      </c>
      <c r="AR491" s="5" t="str">
        <f t="shared" si="745"/>
        <v>нет</v>
      </c>
      <c r="AS491" s="5" t="str">
        <f>""</f>
        <v/>
      </c>
      <c r="AT491" s="5" t="str">
        <f>""</f>
        <v/>
      </c>
      <c r="AU491" s="5" t="str">
        <f>""</f>
        <v/>
      </c>
      <c r="AV491" s="5" t="str">
        <f t="shared" ref="AV491:BF500" si="749">"х"</f>
        <v>х</v>
      </c>
      <c r="AW491" s="5" t="str">
        <f t="shared" si="749"/>
        <v>х</v>
      </c>
      <c r="AX491" s="5" t="str">
        <f t="shared" si="749"/>
        <v>х</v>
      </c>
      <c r="AY491" s="5" t="str">
        <f t="shared" si="749"/>
        <v>х</v>
      </c>
      <c r="AZ491" s="5" t="str">
        <f t="shared" si="749"/>
        <v>х</v>
      </c>
      <c r="BA491" s="5" t="str">
        <f t="shared" si="749"/>
        <v>х</v>
      </c>
      <c r="BB491" s="5" t="str">
        <f t="shared" si="749"/>
        <v>х</v>
      </c>
      <c r="BC491" s="5" t="str">
        <f t="shared" si="749"/>
        <v>х</v>
      </c>
      <c r="BD491" s="5" t="str">
        <f t="shared" si="749"/>
        <v>х</v>
      </c>
      <c r="BE491" s="5" t="str">
        <f t="shared" si="749"/>
        <v>х</v>
      </c>
      <c r="BF491" s="5" t="str">
        <f t="shared" si="749"/>
        <v>х</v>
      </c>
      <c r="BG491" s="5" t="str">
        <f>""</f>
        <v/>
      </c>
      <c r="BH491" s="5" t="str">
        <f>""</f>
        <v/>
      </c>
      <c r="BI491" s="5" t="str">
        <f>""</f>
        <v/>
      </c>
      <c r="BJ491" s="5" t="str">
        <f>""</f>
        <v/>
      </c>
      <c r="BK491" s="5" t="str">
        <f>""</f>
        <v/>
      </c>
      <c r="BL491" s="5" t="str">
        <f>""</f>
        <v/>
      </c>
      <c r="BM491" s="5" t="str">
        <f>""</f>
        <v/>
      </c>
      <c r="BN491" s="5" t="str">
        <f>""</f>
        <v/>
      </c>
      <c r="BO491" s="5" t="str">
        <f>""</f>
        <v/>
      </c>
      <c r="BP491" s="5" t="str">
        <f>""</f>
        <v/>
      </c>
      <c r="BQ491" s="5" t="str">
        <f>""</f>
        <v/>
      </c>
      <c r="BR491" s="5" t="str">
        <f>""</f>
        <v/>
      </c>
      <c r="BS491" s="5" t="str">
        <f>"30,00"</f>
        <v>30,00</v>
      </c>
      <c r="BT491" s="5" t="str">
        <f>"2017"</f>
        <v>2017</v>
      </c>
      <c r="BU491" s="5" t="str">
        <f t="shared" si="689"/>
        <v>нет</v>
      </c>
      <c r="BV491" s="5" t="str">
        <f t="shared" si="741"/>
        <v>x</v>
      </c>
      <c r="BW491" s="5" t="str">
        <f t="shared" si="741"/>
        <v>x</v>
      </c>
      <c r="BX491" s="5" t="str">
        <f t="shared" si="741"/>
        <v>x</v>
      </c>
      <c r="BY491" s="5" t="str">
        <f t="shared" ref="BY491:BY512" si="750">"нет"</f>
        <v>нет</v>
      </c>
      <c r="BZ491" s="5" t="str">
        <f t="shared" ref="BZ491:CB512" si="751">"x"</f>
        <v>x</v>
      </c>
      <c r="CA491" s="5" t="str">
        <f t="shared" si="751"/>
        <v>x</v>
      </c>
      <c r="CB491" s="5" t="str">
        <f t="shared" si="751"/>
        <v>x</v>
      </c>
      <c r="CC491" s="5" t="str">
        <f>""</f>
        <v/>
      </c>
      <c r="CD491" s="5" t="str">
        <f>"10,00"</f>
        <v>10,00</v>
      </c>
      <c r="CE491" s="5" t="str">
        <f>"2031"</f>
        <v>2031</v>
      </c>
      <c r="CF491" s="5" t="str">
        <f>""</f>
        <v/>
      </c>
      <c r="CG491" s="5" t="str">
        <f>"7,00"</f>
        <v>7,00</v>
      </c>
      <c r="CH491" s="5" t="str">
        <f>"2031"</f>
        <v>2031</v>
      </c>
      <c r="CI491" s="5" t="str">
        <f>"10,00"</f>
        <v>10,00</v>
      </c>
      <c r="CJ491" s="5" t="str">
        <f>"2031"</f>
        <v>2031</v>
      </c>
    </row>
    <row r="492" spans="1:88" ht="11.25" customHeight="1">
      <c r="A492" s="3" t="str">
        <f>"1.479"</f>
        <v>1.479</v>
      </c>
      <c r="B492" s="4" t="str">
        <f>"пгт. Вохтога, ул. Домостроителей, д.5"</f>
        <v>пгт. Вохтога, ул. Домостроителей, д.5</v>
      </c>
      <c r="C492" s="7" t="str">
        <f>"1990"</f>
        <v>1990</v>
      </c>
      <c r="D492" s="5" t="str">
        <f>""</f>
        <v/>
      </c>
      <c r="E492" s="5" t="str">
        <f>"5,00"</f>
        <v>5,00</v>
      </c>
      <c r="F492" s="5" t="str">
        <f>"2024"</f>
        <v>2024</v>
      </c>
      <c r="G492" s="5" t="str">
        <f t="shared" si="747"/>
        <v>нет</v>
      </c>
      <c r="H492" s="5" t="str">
        <f>""</f>
        <v/>
      </c>
      <c r="I492" s="5" t="str">
        <f>""</f>
        <v/>
      </c>
      <c r="J492" s="5" t="str">
        <f>""</f>
        <v/>
      </c>
      <c r="K492" s="5" t="str">
        <f t="shared" si="748"/>
        <v>нет</v>
      </c>
      <c r="L492" s="5" t="str">
        <f>""</f>
        <v/>
      </c>
      <c r="M492" s="5" t="str">
        <f>""</f>
        <v/>
      </c>
      <c r="N492" s="5" t="str">
        <f>""</f>
        <v/>
      </c>
      <c r="O492" s="8" t="str">
        <f>""</f>
        <v/>
      </c>
      <c r="P492" s="5" t="str">
        <f>"5,00"</f>
        <v>5,00</v>
      </c>
      <c r="Q492" s="5" t="str">
        <f>"2035"</f>
        <v>2035</v>
      </c>
      <c r="R492" s="5" t="str">
        <f>"нет"</f>
        <v>нет</v>
      </c>
      <c r="S492" s="5" t="str">
        <f>""</f>
        <v/>
      </c>
      <c r="T492" s="5" t="str">
        <f>""</f>
        <v/>
      </c>
      <c r="U492" s="5" t="str">
        <f>""</f>
        <v/>
      </c>
      <c r="V492" s="5" t="str">
        <f>"нет"</f>
        <v>нет</v>
      </c>
      <c r="W492" s="5" t="str">
        <f>""</f>
        <v/>
      </c>
      <c r="X492" s="5" t="str">
        <f>""</f>
        <v/>
      </c>
      <c r="Y492" s="9" t="str">
        <f>""</f>
        <v/>
      </c>
      <c r="Z492" s="5" t="str">
        <f>""</f>
        <v/>
      </c>
      <c r="AA492" s="5" t="str">
        <f>""</f>
        <v/>
      </c>
      <c r="AB492" s="5" t="str">
        <f>""</f>
        <v/>
      </c>
      <c r="AC492" s="5" t="str">
        <f>""</f>
        <v/>
      </c>
      <c r="AD492" s="5" t="str">
        <f>""</f>
        <v/>
      </c>
      <c r="AE492" s="5" t="str">
        <f>""</f>
        <v/>
      </c>
      <c r="AF492" s="5" t="str">
        <f>""</f>
        <v/>
      </c>
      <c r="AG492" s="5" t="str">
        <f>""</f>
        <v/>
      </c>
      <c r="AH492" s="5" t="str">
        <f>""</f>
        <v/>
      </c>
      <c r="AI492" s="5" t="str">
        <f>""</f>
        <v/>
      </c>
      <c r="AJ492" s="5" t="str">
        <f>""</f>
        <v/>
      </c>
      <c r="AK492" s="8" t="str">
        <f>""</f>
        <v/>
      </c>
      <c r="AL492" s="5" t="str">
        <f>"10,00"</f>
        <v>10,00</v>
      </c>
      <c r="AM492" s="5" t="str">
        <f>"2030"</f>
        <v>2030</v>
      </c>
      <c r="AN492" s="5" t="str">
        <f t="shared" si="744"/>
        <v>нет</v>
      </c>
      <c r="AO492" s="5" t="str">
        <f>""</f>
        <v/>
      </c>
      <c r="AP492" s="5" t="str">
        <f>""</f>
        <v/>
      </c>
      <c r="AQ492" s="5" t="str">
        <f>""</f>
        <v/>
      </c>
      <c r="AR492" s="5" t="str">
        <f t="shared" si="745"/>
        <v>нет</v>
      </c>
      <c r="AS492" s="5" t="str">
        <f>""</f>
        <v/>
      </c>
      <c r="AT492" s="5" t="str">
        <f>""</f>
        <v/>
      </c>
      <c r="AU492" s="5" t="str">
        <f>""</f>
        <v/>
      </c>
      <c r="AV492" s="5" t="str">
        <f t="shared" si="749"/>
        <v>х</v>
      </c>
      <c r="AW492" s="5" t="str">
        <f t="shared" si="749"/>
        <v>х</v>
      </c>
      <c r="AX492" s="5" t="str">
        <f t="shared" si="749"/>
        <v>х</v>
      </c>
      <c r="AY492" s="5" t="str">
        <f t="shared" si="749"/>
        <v>х</v>
      </c>
      <c r="AZ492" s="5" t="str">
        <f t="shared" si="749"/>
        <v>х</v>
      </c>
      <c r="BA492" s="5" t="str">
        <f t="shared" si="749"/>
        <v>х</v>
      </c>
      <c r="BB492" s="5" t="str">
        <f t="shared" si="749"/>
        <v>х</v>
      </c>
      <c r="BC492" s="5" t="str">
        <f t="shared" si="749"/>
        <v>х</v>
      </c>
      <c r="BD492" s="5" t="str">
        <f t="shared" si="749"/>
        <v>х</v>
      </c>
      <c r="BE492" s="5" t="str">
        <f t="shared" si="749"/>
        <v>х</v>
      </c>
      <c r="BF492" s="5" t="str">
        <f t="shared" si="749"/>
        <v>х</v>
      </c>
      <c r="BG492" s="5" t="str">
        <f>""</f>
        <v/>
      </c>
      <c r="BH492" s="5" t="str">
        <f>""</f>
        <v/>
      </c>
      <c r="BI492" s="5" t="str">
        <f>""</f>
        <v/>
      </c>
      <c r="BJ492" s="5" t="str">
        <f>""</f>
        <v/>
      </c>
      <c r="BK492" s="5" t="str">
        <f>""</f>
        <v/>
      </c>
      <c r="BL492" s="5" t="str">
        <f>""</f>
        <v/>
      </c>
      <c r="BM492" s="5" t="str">
        <f>""</f>
        <v/>
      </c>
      <c r="BN492" s="5" t="str">
        <f>""</f>
        <v/>
      </c>
      <c r="BO492" s="5" t="str">
        <f>""</f>
        <v/>
      </c>
      <c r="BP492" s="5" t="str">
        <f>""</f>
        <v/>
      </c>
      <c r="BQ492" s="5" t="str">
        <f>""</f>
        <v/>
      </c>
      <c r="BR492" s="5" t="str">
        <f>"2010"</f>
        <v>2010</v>
      </c>
      <c r="BS492" s="5" t="str">
        <f>"10,00"</f>
        <v>10,00</v>
      </c>
      <c r="BT492" s="5" t="str">
        <f>"2017"</f>
        <v>2017</v>
      </c>
      <c r="BU492" s="5" t="str">
        <f t="shared" ref="BU492:BU555" si="752">"нет"</f>
        <v>нет</v>
      </c>
      <c r="BV492" s="5" t="str">
        <f t="shared" si="741"/>
        <v>x</v>
      </c>
      <c r="BW492" s="5" t="str">
        <f t="shared" si="741"/>
        <v>x</v>
      </c>
      <c r="BX492" s="5" t="str">
        <f t="shared" si="741"/>
        <v>x</v>
      </c>
      <c r="BY492" s="5" t="str">
        <f t="shared" si="750"/>
        <v>нет</v>
      </c>
      <c r="BZ492" s="5" t="str">
        <f t="shared" si="751"/>
        <v>x</v>
      </c>
      <c r="CA492" s="5" t="str">
        <f t="shared" si="751"/>
        <v>x</v>
      </c>
      <c r="CB492" s="5" t="str">
        <f t="shared" si="751"/>
        <v>x</v>
      </c>
      <c r="CC492" s="5" t="str">
        <f>""</f>
        <v/>
      </c>
      <c r="CD492" s="5" t="str">
        <f>"30,00"</f>
        <v>30,00</v>
      </c>
      <c r="CE492" s="5" t="str">
        <f>"2024"</f>
        <v>2024</v>
      </c>
      <c r="CF492" s="5" t="str">
        <f>""</f>
        <v/>
      </c>
      <c r="CG492" s="5" t="str">
        <f>"15,00"</f>
        <v>15,00</v>
      </c>
      <c r="CH492" s="5" t="str">
        <f>"2024"</f>
        <v>2024</v>
      </c>
      <c r="CI492" s="5" t="str">
        <f>"23,00"</f>
        <v>23,00</v>
      </c>
      <c r="CJ492" s="5" t="str">
        <f>"2024"</f>
        <v>2024</v>
      </c>
    </row>
    <row r="493" spans="1:88" ht="11.25" customHeight="1">
      <c r="A493" s="3" t="str">
        <f>"1.480"</f>
        <v>1.480</v>
      </c>
      <c r="B493" s="4" t="str">
        <f>"пгт. Вохтога, ул. Домостроителей, д.7"</f>
        <v>пгт. Вохтога, ул. Домостроителей, д.7</v>
      </c>
      <c r="C493" s="7" t="str">
        <f>"1990"</f>
        <v>1990</v>
      </c>
      <c r="D493" s="5" t="str">
        <f>""</f>
        <v/>
      </c>
      <c r="E493" s="5" t="str">
        <f>"3,00"</f>
        <v>3,00</v>
      </c>
      <c r="F493" s="5" t="str">
        <f>"2030"</f>
        <v>2030</v>
      </c>
      <c r="G493" s="5" t="str">
        <f t="shared" si="747"/>
        <v>нет</v>
      </c>
      <c r="H493" s="5" t="str">
        <f>""</f>
        <v/>
      </c>
      <c r="I493" s="5" t="str">
        <f>""</f>
        <v/>
      </c>
      <c r="J493" s="5" t="str">
        <f>""</f>
        <v/>
      </c>
      <c r="K493" s="5" t="str">
        <f t="shared" si="748"/>
        <v>нет</v>
      </c>
      <c r="L493" s="5" t="str">
        <f>""</f>
        <v/>
      </c>
      <c r="M493" s="5" t="str">
        <f>""</f>
        <v/>
      </c>
      <c r="N493" s="5" t="str">
        <f>""</f>
        <v/>
      </c>
      <c r="O493" s="8" t="str">
        <f>""</f>
        <v/>
      </c>
      <c r="P493" s="5" t="str">
        <f>"3,00"</f>
        <v>3,00</v>
      </c>
      <c r="Q493" s="5" t="str">
        <f>"2030"</f>
        <v>2030</v>
      </c>
      <c r="R493" s="5" t="str">
        <f>"нет"</f>
        <v>нет</v>
      </c>
      <c r="S493" s="5" t="str">
        <f>""</f>
        <v/>
      </c>
      <c r="T493" s="5" t="str">
        <f>""</f>
        <v/>
      </c>
      <c r="U493" s="5" t="str">
        <f>""</f>
        <v/>
      </c>
      <c r="V493" s="5" t="str">
        <f>"нет"</f>
        <v>нет</v>
      </c>
      <c r="W493" s="5" t="str">
        <f>""</f>
        <v/>
      </c>
      <c r="X493" s="5" t="str">
        <f>""</f>
        <v/>
      </c>
      <c r="Y493" s="9" t="str">
        <f>""</f>
        <v/>
      </c>
      <c r="Z493" s="5" t="str">
        <f>""</f>
        <v/>
      </c>
      <c r="AA493" s="5" t="str">
        <f>""</f>
        <v/>
      </c>
      <c r="AB493" s="5" t="str">
        <f>""</f>
        <v/>
      </c>
      <c r="AC493" s="5" t="str">
        <f>""</f>
        <v/>
      </c>
      <c r="AD493" s="5" t="str">
        <f>""</f>
        <v/>
      </c>
      <c r="AE493" s="5" t="str">
        <f>""</f>
        <v/>
      </c>
      <c r="AF493" s="5" t="str">
        <f>""</f>
        <v/>
      </c>
      <c r="AG493" s="5" t="str">
        <f>""</f>
        <v/>
      </c>
      <c r="AH493" s="5" t="str">
        <f>""</f>
        <v/>
      </c>
      <c r="AI493" s="5" t="str">
        <f>""</f>
        <v/>
      </c>
      <c r="AJ493" s="5" t="str">
        <f>""</f>
        <v/>
      </c>
      <c r="AK493" s="8" t="str">
        <f>""</f>
        <v/>
      </c>
      <c r="AL493" s="5" t="str">
        <f>"5,00"</f>
        <v>5,00</v>
      </c>
      <c r="AM493" s="5" t="str">
        <f>"2030"</f>
        <v>2030</v>
      </c>
      <c r="AN493" s="5" t="str">
        <f t="shared" si="744"/>
        <v>нет</v>
      </c>
      <c r="AO493" s="5" t="str">
        <f>""</f>
        <v/>
      </c>
      <c r="AP493" s="5" t="str">
        <f>""</f>
        <v/>
      </c>
      <c r="AQ493" s="5" t="str">
        <f>""</f>
        <v/>
      </c>
      <c r="AR493" s="5" t="str">
        <f t="shared" si="745"/>
        <v>нет</v>
      </c>
      <c r="AS493" s="5" t="str">
        <f>""</f>
        <v/>
      </c>
      <c r="AT493" s="5" t="str">
        <f>""</f>
        <v/>
      </c>
      <c r="AU493" s="5" t="str">
        <f>""</f>
        <v/>
      </c>
      <c r="AV493" s="5" t="str">
        <f t="shared" si="749"/>
        <v>х</v>
      </c>
      <c r="AW493" s="5" t="str">
        <f t="shared" si="749"/>
        <v>х</v>
      </c>
      <c r="AX493" s="5" t="str">
        <f t="shared" si="749"/>
        <v>х</v>
      </c>
      <c r="AY493" s="5" t="str">
        <f t="shared" si="749"/>
        <v>х</v>
      </c>
      <c r="AZ493" s="5" t="str">
        <f t="shared" si="749"/>
        <v>х</v>
      </c>
      <c r="BA493" s="5" t="str">
        <f t="shared" si="749"/>
        <v>х</v>
      </c>
      <c r="BB493" s="5" t="str">
        <f t="shared" si="749"/>
        <v>х</v>
      </c>
      <c r="BC493" s="5" t="str">
        <f t="shared" si="749"/>
        <v>х</v>
      </c>
      <c r="BD493" s="5" t="str">
        <f t="shared" si="749"/>
        <v>х</v>
      </c>
      <c r="BE493" s="5" t="str">
        <f t="shared" si="749"/>
        <v>х</v>
      </c>
      <c r="BF493" s="5" t="str">
        <f t="shared" si="749"/>
        <v>х</v>
      </c>
      <c r="BG493" s="5" t="str">
        <f>""</f>
        <v/>
      </c>
      <c r="BH493" s="5" t="str">
        <f>""</f>
        <v/>
      </c>
      <c r="BI493" s="5" t="str">
        <f>""</f>
        <v/>
      </c>
      <c r="BJ493" s="5" t="str">
        <f>""</f>
        <v/>
      </c>
      <c r="BK493" s="5" t="str">
        <f>""</f>
        <v/>
      </c>
      <c r="BL493" s="5" t="str">
        <f>""</f>
        <v/>
      </c>
      <c r="BM493" s="5" t="str">
        <f>""</f>
        <v/>
      </c>
      <c r="BN493" s="5" t="str">
        <f>""</f>
        <v/>
      </c>
      <c r="BO493" s="5" t="str">
        <f>""</f>
        <v/>
      </c>
      <c r="BP493" s="5" t="str">
        <f>""</f>
        <v/>
      </c>
      <c r="BQ493" s="5" t="str">
        <f>""</f>
        <v/>
      </c>
      <c r="BR493" s="5" t="str">
        <f>""</f>
        <v/>
      </c>
      <c r="BS493" s="5" t="str">
        <f>"35,00"</f>
        <v>35,00</v>
      </c>
      <c r="BT493" s="5" t="str">
        <f>"2017"</f>
        <v>2017</v>
      </c>
      <c r="BU493" s="5" t="str">
        <f t="shared" si="752"/>
        <v>нет</v>
      </c>
      <c r="BV493" s="5" t="str">
        <f t="shared" si="741"/>
        <v>x</v>
      </c>
      <c r="BW493" s="5" t="str">
        <f t="shared" si="741"/>
        <v>x</v>
      </c>
      <c r="BX493" s="5" t="str">
        <f t="shared" si="741"/>
        <v>x</v>
      </c>
      <c r="BY493" s="5" t="str">
        <f t="shared" si="750"/>
        <v>нет</v>
      </c>
      <c r="BZ493" s="5" t="str">
        <f t="shared" si="751"/>
        <v>x</v>
      </c>
      <c r="CA493" s="5" t="str">
        <f t="shared" si="751"/>
        <v>x</v>
      </c>
      <c r="CB493" s="5" t="str">
        <f t="shared" si="751"/>
        <v>x</v>
      </c>
      <c r="CC493" s="5" t="str">
        <f>""</f>
        <v/>
      </c>
      <c r="CD493" s="5" t="str">
        <f>"12,00"</f>
        <v>12,00</v>
      </c>
      <c r="CE493" s="5" t="str">
        <f>"2030"</f>
        <v>2030</v>
      </c>
      <c r="CF493" s="5" t="str">
        <f>""</f>
        <v/>
      </c>
      <c r="CG493" s="5" t="str">
        <f>"10,00"</f>
        <v>10,00</v>
      </c>
      <c r="CH493" s="5" t="str">
        <f>"2030"</f>
        <v>2030</v>
      </c>
      <c r="CI493" s="5" t="str">
        <f>"12,00"</f>
        <v>12,00</v>
      </c>
      <c r="CJ493" s="5" t="str">
        <f>"2030"</f>
        <v>2030</v>
      </c>
    </row>
    <row r="494" spans="1:88" ht="11.25" customHeight="1">
      <c r="A494" s="3" t="str">
        <f>"1.481"</f>
        <v>1.481</v>
      </c>
      <c r="B494" s="4" t="str">
        <f>"пгт. Вохтога, ул. Железнодорожная, д.15А"</f>
        <v>пгт. Вохтога, ул. Железнодорожная, д.15А</v>
      </c>
      <c r="C494" s="7" t="str">
        <f>"1984"</f>
        <v>1984</v>
      </c>
      <c r="D494" s="5" t="str">
        <f>""</f>
        <v/>
      </c>
      <c r="E494" s="5" t="str">
        <f>"44,00"</f>
        <v>44,00</v>
      </c>
      <c r="F494" s="5" t="str">
        <f>"2026"</f>
        <v>2026</v>
      </c>
      <c r="G494" s="5" t="str">
        <f t="shared" si="747"/>
        <v>нет</v>
      </c>
      <c r="H494" s="5" t="str">
        <f>""</f>
        <v/>
      </c>
      <c r="I494" s="5" t="str">
        <f>""</f>
        <v/>
      </c>
      <c r="J494" s="5" t="str">
        <f>""</f>
        <v/>
      </c>
      <c r="K494" s="5" t="str">
        <f t="shared" si="748"/>
        <v>нет</v>
      </c>
      <c r="L494" s="5" t="str">
        <f>""</f>
        <v/>
      </c>
      <c r="M494" s="5" t="str">
        <f>""</f>
        <v/>
      </c>
      <c r="N494" s="5" t="str">
        <f>""</f>
        <v/>
      </c>
      <c r="O494" s="8" t="str">
        <f>""</f>
        <v/>
      </c>
      <c r="P494" s="5" t="str">
        <f>""</f>
        <v/>
      </c>
      <c r="Q494" s="5" t="str">
        <f>""</f>
        <v/>
      </c>
      <c r="R494" s="5" t="str">
        <f>""</f>
        <v/>
      </c>
      <c r="S494" s="5" t="str">
        <f>""</f>
        <v/>
      </c>
      <c r="T494" s="5" t="str">
        <f>""</f>
        <v/>
      </c>
      <c r="U494" s="5" t="str">
        <f>""</f>
        <v/>
      </c>
      <c r="V494" s="5" t="str">
        <f>""</f>
        <v/>
      </c>
      <c r="W494" s="5" t="str">
        <f>""</f>
        <v/>
      </c>
      <c r="X494" s="5" t="str">
        <f>""</f>
        <v/>
      </c>
      <c r="Y494" s="9" t="str">
        <f>""</f>
        <v/>
      </c>
      <c r="Z494" s="5" t="str">
        <f>""</f>
        <v/>
      </c>
      <c r="AA494" s="5" t="str">
        <f>""</f>
        <v/>
      </c>
      <c r="AB494" s="5" t="str">
        <f>""</f>
        <v/>
      </c>
      <c r="AC494" s="5" t="str">
        <f>""</f>
        <v/>
      </c>
      <c r="AD494" s="5" t="str">
        <f>""</f>
        <v/>
      </c>
      <c r="AE494" s="5" t="str">
        <f>""</f>
        <v/>
      </c>
      <c r="AF494" s="5" t="str">
        <f>""</f>
        <v/>
      </c>
      <c r="AG494" s="5" t="str">
        <f>""</f>
        <v/>
      </c>
      <c r="AH494" s="5" t="str">
        <f>""</f>
        <v/>
      </c>
      <c r="AI494" s="5" t="str">
        <f>""</f>
        <v/>
      </c>
      <c r="AJ494" s="5" t="str">
        <f>""</f>
        <v/>
      </c>
      <c r="AK494" s="8" t="str">
        <f>""</f>
        <v/>
      </c>
      <c r="AL494" s="5" t="str">
        <f>"44,00"</f>
        <v>44,00</v>
      </c>
      <c r="AM494" s="5" t="str">
        <f>"2026"</f>
        <v>2026</v>
      </c>
      <c r="AN494" s="5" t="str">
        <f t="shared" si="744"/>
        <v>нет</v>
      </c>
      <c r="AO494" s="5" t="str">
        <f>""</f>
        <v/>
      </c>
      <c r="AP494" s="5" t="str">
        <f>""</f>
        <v/>
      </c>
      <c r="AQ494" s="5" t="str">
        <f>""</f>
        <v/>
      </c>
      <c r="AR494" s="5" t="str">
        <f t="shared" si="745"/>
        <v>нет</v>
      </c>
      <c r="AS494" s="5" t="str">
        <f>""</f>
        <v/>
      </c>
      <c r="AT494" s="5" t="str">
        <f>""</f>
        <v/>
      </c>
      <c r="AU494" s="5" t="str">
        <f>""</f>
        <v/>
      </c>
      <c r="AV494" s="5" t="str">
        <f t="shared" si="749"/>
        <v>х</v>
      </c>
      <c r="AW494" s="5" t="str">
        <f t="shared" si="749"/>
        <v>х</v>
      </c>
      <c r="AX494" s="5" t="str">
        <f t="shared" si="749"/>
        <v>х</v>
      </c>
      <c r="AY494" s="5" t="str">
        <f t="shared" si="749"/>
        <v>х</v>
      </c>
      <c r="AZ494" s="5" t="str">
        <f t="shared" si="749"/>
        <v>х</v>
      </c>
      <c r="BA494" s="5" t="str">
        <f t="shared" si="749"/>
        <v>х</v>
      </c>
      <c r="BB494" s="5" t="str">
        <f t="shared" si="749"/>
        <v>х</v>
      </c>
      <c r="BC494" s="5" t="str">
        <f t="shared" si="749"/>
        <v>х</v>
      </c>
      <c r="BD494" s="5" t="str">
        <f t="shared" si="749"/>
        <v>х</v>
      </c>
      <c r="BE494" s="5" t="str">
        <f t="shared" si="749"/>
        <v>х</v>
      </c>
      <c r="BF494" s="5" t="str">
        <f t="shared" si="749"/>
        <v>х</v>
      </c>
      <c r="BG494" s="5" t="str">
        <f>""</f>
        <v/>
      </c>
      <c r="BH494" s="5" t="str">
        <f>""</f>
        <v/>
      </c>
      <c r="BI494" s="5" t="str">
        <f>""</f>
        <v/>
      </c>
      <c r="BJ494" s="5" t="str">
        <f>""</f>
        <v/>
      </c>
      <c r="BK494" s="5" t="str">
        <f>""</f>
        <v/>
      </c>
      <c r="BL494" s="5" t="str">
        <f>""</f>
        <v/>
      </c>
      <c r="BM494" s="5" t="str">
        <f>""</f>
        <v/>
      </c>
      <c r="BN494" s="5" t="str">
        <f>""</f>
        <v/>
      </c>
      <c r="BO494" s="5" t="str">
        <f>""</f>
        <v/>
      </c>
      <c r="BP494" s="5" t="str">
        <f>""</f>
        <v/>
      </c>
      <c r="BQ494" s="5" t="str">
        <f>""</f>
        <v/>
      </c>
      <c r="BR494" s="5" t="str">
        <f>""</f>
        <v/>
      </c>
      <c r="BS494" s="5" t="str">
        <f>"44,00"</f>
        <v>44,00</v>
      </c>
      <c r="BT494" s="5" t="str">
        <f>"2026"</f>
        <v>2026</v>
      </c>
      <c r="BU494" s="5" t="str">
        <f t="shared" si="752"/>
        <v>нет</v>
      </c>
      <c r="BV494" s="5" t="str">
        <f t="shared" si="741"/>
        <v>x</v>
      </c>
      <c r="BW494" s="5" t="str">
        <f t="shared" si="741"/>
        <v>x</v>
      </c>
      <c r="BX494" s="5" t="str">
        <f t="shared" si="741"/>
        <v>x</v>
      </c>
      <c r="BY494" s="5" t="str">
        <f t="shared" si="750"/>
        <v>нет</v>
      </c>
      <c r="BZ494" s="5" t="str">
        <f t="shared" si="751"/>
        <v>x</v>
      </c>
      <c r="CA494" s="5" t="str">
        <f t="shared" si="751"/>
        <v>x</v>
      </c>
      <c r="CB494" s="5" t="str">
        <f t="shared" si="751"/>
        <v>x</v>
      </c>
      <c r="CC494" s="5" t="str">
        <f>""</f>
        <v/>
      </c>
      <c r="CD494" s="5" t="str">
        <f>"44,00"</f>
        <v>44,00</v>
      </c>
      <c r="CE494" s="5" t="str">
        <f>"2026"</f>
        <v>2026</v>
      </c>
      <c r="CF494" s="5" t="str">
        <f>""</f>
        <v/>
      </c>
      <c r="CG494" s="5" t="str">
        <f>"44,00"</f>
        <v>44,00</v>
      </c>
      <c r="CH494" s="5" t="str">
        <f>"2026"</f>
        <v>2026</v>
      </c>
      <c r="CI494" s="5" t="str">
        <f>"44,00"</f>
        <v>44,00</v>
      </c>
      <c r="CJ494" s="5" t="str">
        <f>"2026"</f>
        <v>2026</v>
      </c>
    </row>
    <row r="495" spans="1:88" ht="11.25" customHeight="1">
      <c r="A495" s="3" t="str">
        <f>"1.482"</f>
        <v>1.482</v>
      </c>
      <c r="B495" s="4" t="str">
        <f>"пгт. Вохтога, ул. Железнодорожная, д.2"</f>
        <v>пгт. Вохтога, ул. Железнодорожная, д.2</v>
      </c>
      <c r="C495" s="7" t="str">
        <f>"1992"</f>
        <v>1992</v>
      </c>
      <c r="D495" s="5" t="str">
        <f>""</f>
        <v/>
      </c>
      <c r="E495" s="5" t="str">
        <f>"28,00"</f>
        <v>28,00</v>
      </c>
      <c r="F495" s="5" t="str">
        <f>"2028"</f>
        <v>2028</v>
      </c>
      <c r="G495" s="5" t="str">
        <f t="shared" si="747"/>
        <v>нет</v>
      </c>
      <c r="H495" s="5" t="str">
        <f>""</f>
        <v/>
      </c>
      <c r="I495" s="5" t="str">
        <f>""</f>
        <v/>
      </c>
      <c r="J495" s="5" t="str">
        <f>""</f>
        <v/>
      </c>
      <c r="K495" s="5" t="str">
        <f t="shared" si="748"/>
        <v>нет</v>
      </c>
      <c r="L495" s="5" t="str">
        <f>""</f>
        <v/>
      </c>
      <c r="M495" s="5" t="str">
        <f>""</f>
        <v/>
      </c>
      <c r="N495" s="5" t="str">
        <f>""</f>
        <v/>
      </c>
      <c r="O495" s="8" t="str">
        <f>""</f>
        <v/>
      </c>
      <c r="P495" s="5" t="str">
        <f>""</f>
        <v/>
      </c>
      <c r="Q495" s="5" t="str">
        <f>""</f>
        <v/>
      </c>
      <c r="R495" s="5" t="str">
        <f>""</f>
        <v/>
      </c>
      <c r="S495" s="5" t="str">
        <f>""</f>
        <v/>
      </c>
      <c r="T495" s="5" t="str">
        <f>""</f>
        <v/>
      </c>
      <c r="U495" s="5" t="str">
        <f>""</f>
        <v/>
      </c>
      <c r="V495" s="5" t="str">
        <f>""</f>
        <v/>
      </c>
      <c r="W495" s="5" t="str">
        <f>""</f>
        <v/>
      </c>
      <c r="X495" s="5" t="str">
        <f>""</f>
        <v/>
      </c>
      <c r="Y495" s="9" t="str">
        <f>""</f>
        <v/>
      </c>
      <c r="Z495" s="5" t="str">
        <f>""</f>
        <v/>
      </c>
      <c r="AA495" s="5" t="str">
        <f>""</f>
        <v/>
      </c>
      <c r="AB495" s="5" t="str">
        <f>""</f>
        <v/>
      </c>
      <c r="AC495" s="5" t="str">
        <f>""</f>
        <v/>
      </c>
      <c r="AD495" s="5" t="str">
        <f>""</f>
        <v/>
      </c>
      <c r="AE495" s="5" t="str">
        <f>""</f>
        <v/>
      </c>
      <c r="AF495" s="5" t="str">
        <f>""</f>
        <v/>
      </c>
      <c r="AG495" s="5" t="str">
        <f>""</f>
        <v/>
      </c>
      <c r="AH495" s="5" t="str">
        <f>""</f>
        <v/>
      </c>
      <c r="AI495" s="5" t="str">
        <f>""</f>
        <v/>
      </c>
      <c r="AJ495" s="5" t="str">
        <f>""</f>
        <v/>
      </c>
      <c r="AK495" s="8" t="str">
        <f>""</f>
        <v/>
      </c>
      <c r="AL495" s="5" t="str">
        <f>"28,00"</f>
        <v>28,00</v>
      </c>
      <c r="AM495" s="5" t="str">
        <f>"2028"</f>
        <v>2028</v>
      </c>
      <c r="AN495" s="5" t="str">
        <f t="shared" si="744"/>
        <v>нет</v>
      </c>
      <c r="AO495" s="5" t="str">
        <f>""</f>
        <v/>
      </c>
      <c r="AP495" s="5" t="str">
        <f>""</f>
        <v/>
      </c>
      <c r="AQ495" s="5" t="str">
        <f>""</f>
        <v/>
      </c>
      <c r="AR495" s="5" t="str">
        <f t="shared" si="745"/>
        <v>нет</v>
      </c>
      <c r="AS495" s="5" t="str">
        <f>""</f>
        <v/>
      </c>
      <c r="AT495" s="5" t="str">
        <f>""</f>
        <v/>
      </c>
      <c r="AU495" s="5" t="str">
        <f>""</f>
        <v/>
      </c>
      <c r="AV495" s="5" t="str">
        <f t="shared" si="749"/>
        <v>х</v>
      </c>
      <c r="AW495" s="5" t="str">
        <f t="shared" si="749"/>
        <v>х</v>
      </c>
      <c r="AX495" s="5" t="str">
        <f t="shared" si="749"/>
        <v>х</v>
      </c>
      <c r="AY495" s="5" t="str">
        <f t="shared" si="749"/>
        <v>х</v>
      </c>
      <c r="AZ495" s="5" t="str">
        <f t="shared" si="749"/>
        <v>х</v>
      </c>
      <c r="BA495" s="5" t="str">
        <f t="shared" si="749"/>
        <v>х</v>
      </c>
      <c r="BB495" s="5" t="str">
        <f t="shared" si="749"/>
        <v>х</v>
      </c>
      <c r="BC495" s="5" t="str">
        <f t="shared" si="749"/>
        <v>х</v>
      </c>
      <c r="BD495" s="5" t="str">
        <f t="shared" si="749"/>
        <v>х</v>
      </c>
      <c r="BE495" s="5" t="str">
        <f t="shared" si="749"/>
        <v>х</v>
      </c>
      <c r="BF495" s="5" t="str">
        <f t="shared" si="749"/>
        <v>х</v>
      </c>
      <c r="BG495" s="5" t="str">
        <f>""</f>
        <v/>
      </c>
      <c r="BH495" s="5" t="str">
        <f>""</f>
        <v/>
      </c>
      <c r="BI495" s="5" t="str">
        <f>""</f>
        <v/>
      </c>
      <c r="BJ495" s="5" t="str">
        <f>""</f>
        <v/>
      </c>
      <c r="BK495" s="5" t="str">
        <f>""</f>
        <v/>
      </c>
      <c r="BL495" s="5" t="str">
        <f>""</f>
        <v/>
      </c>
      <c r="BM495" s="5" t="str">
        <f>""</f>
        <v/>
      </c>
      <c r="BN495" s="5" t="str">
        <f>""</f>
        <v/>
      </c>
      <c r="BO495" s="5" t="str">
        <f>""</f>
        <v/>
      </c>
      <c r="BP495" s="5" t="str">
        <f>""</f>
        <v/>
      </c>
      <c r="BQ495" s="5" t="str">
        <f>""</f>
        <v/>
      </c>
      <c r="BR495" s="5" t="str">
        <f>""</f>
        <v/>
      </c>
      <c r="BS495" s="5" t="str">
        <f>"28,00"</f>
        <v>28,00</v>
      </c>
      <c r="BT495" s="5" t="str">
        <f>"2028"</f>
        <v>2028</v>
      </c>
      <c r="BU495" s="5" t="str">
        <f t="shared" si="752"/>
        <v>нет</v>
      </c>
      <c r="BV495" s="5" t="str">
        <f t="shared" si="741"/>
        <v>x</v>
      </c>
      <c r="BW495" s="5" t="str">
        <f t="shared" si="741"/>
        <v>x</v>
      </c>
      <c r="BX495" s="5" t="str">
        <f t="shared" si="741"/>
        <v>x</v>
      </c>
      <c r="BY495" s="5" t="str">
        <f t="shared" si="750"/>
        <v>нет</v>
      </c>
      <c r="BZ495" s="5" t="str">
        <f t="shared" si="751"/>
        <v>x</v>
      </c>
      <c r="CA495" s="5" t="str">
        <f t="shared" si="751"/>
        <v>x</v>
      </c>
      <c r="CB495" s="5" t="str">
        <f t="shared" si="751"/>
        <v>x</v>
      </c>
      <c r="CC495" s="5" t="str">
        <f>""</f>
        <v/>
      </c>
      <c r="CD495" s="5" t="str">
        <f>"28,00"</f>
        <v>28,00</v>
      </c>
      <c r="CE495" s="5" t="str">
        <f>"2028"</f>
        <v>2028</v>
      </c>
      <c r="CF495" s="5" t="str">
        <f>""</f>
        <v/>
      </c>
      <c r="CG495" s="5" t="str">
        <f>"28,00"</f>
        <v>28,00</v>
      </c>
      <c r="CH495" s="5" t="str">
        <f>"2028"</f>
        <v>2028</v>
      </c>
      <c r="CI495" s="5" t="str">
        <f>"28,00"</f>
        <v>28,00</v>
      </c>
      <c r="CJ495" s="5" t="str">
        <f>"2028"</f>
        <v>2028</v>
      </c>
    </row>
    <row r="496" spans="1:88" ht="11.25" customHeight="1">
      <c r="A496" s="3" t="str">
        <f>"1.483"</f>
        <v>1.483</v>
      </c>
      <c r="B496" s="4" t="str">
        <f>"пгт. Вохтога, ул. Железнодорожная, д.21"</f>
        <v>пгт. Вохтога, ул. Железнодорожная, д.21</v>
      </c>
      <c r="C496" s="7" t="str">
        <f>"1969"</f>
        <v>1969</v>
      </c>
      <c r="D496" s="5" t="str">
        <f>""</f>
        <v/>
      </c>
      <c r="E496" s="5" t="str">
        <f>"34,00"</f>
        <v>34,00</v>
      </c>
      <c r="F496" s="5" t="str">
        <f>"2029"</f>
        <v>2029</v>
      </c>
      <c r="G496" s="5" t="str">
        <f t="shared" si="747"/>
        <v>нет</v>
      </c>
      <c r="H496" s="5" t="str">
        <f>""</f>
        <v/>
      </c>
      <c r="I496" s="5" t="str">
        <f>""</f>
        <v/>
      </c>
      <c r="J496" s="5" t="str">
        <f>""</f>
        <v/>
      </c>
      <c r="K496" s="5" t="str">
        <f t="shared" si="748"/>
        <v>нет</v>
      </c>
      <c r="L496" s="5" t="str">
        <f>""</f>
        <v/>
      </c>
      <c r="M496" s="5" t="str">
        <f>""</f>
        <v/>
      </c>
      <c r="N496" s="5" t="str">
        <f>""</f>
        <v/>
      </c>
      <c r="O496" s="8" t="str">
        <f>""</f>
        <v/>
      </c>
      <c r="P496" s="5" t="str">
        <f>""</f>
        <v/>
      </c>
      <c r="Q496" s="5" t="str">
        <f>""</f>
        <v/>
      </c>
      <c r="R496" s="5" t="str">
        <f>""</f>
        <v/>
      </c>
      <c r="S496" s="5" t="str">
        <f>""</f>
        <v/>
      </c>
      <c r="T496" s="5" t="str">
        <f>""</f>
        <v/>
      </c>
      <c r="U496" s="5" t="str">
        <f>""</f>
        <v/>
      </c>
      <c r="V496" s="5" t="str">
        <f>""</f>
        <v/>
      </c>
      <c r="W496" s="5" t="str">
        <f>""</f>
        <v/>
      </c>
      <c r="X496" s="5" t="str">
        <f>""</f>
        <v/>
      </c>
      <c r="Y496" s="9" t="str">
        <f>""</f>
        <v/>
      </c>
      <c r="Z496" s="5" t="str">
        <f>""</f>
        <v/>
      </c>
      <c r="AA496" s="5" t="str">
        <f>""</f>
        <v/>
      </c>
      <c r="AB496" s="5" t="str">
        <f>""</f>
        <v/>
      </c>
      <c r="AC496" s="5" t="str">
        <f>""</f>
        <v/>
      </c>
      <c r="AD496" s="5" t="str">
        <f>""</f>
        <v/>
      </c>
      <c r="AE496" s="5" t="str">
        <f>""</f>
        <v/>
      </c>
      <c r="AF496" s="5" t="str">
        <f>""</f>
        <v/>
      </c>
      <c r="AG496" s="5" t="str">
        <f>""</f>
        <v/>
      </c>
      <c r="AH496" s="5" t="str">
        <f>""</f>
        <v/>
      </c>
      <c r="AI496" s="5" t="str">
        <f>""</f>
        <v/>
      </c>
      <c r="AJ496" s="5" t="str">
        <f>""</f>
        <v/>
      </c>
      <c r="AK496" s="8" t="str">
        <f t="shared" ref="AK496:AU496" si="753">"х"</f>
        <v>х</v>
      </c>
      <c r="AL496" s="5" t="str">
        <f t="shared" si="753"/>
        <v>х</v>
      </c>
      <c r="AM496" s="5" t="str">
        <f t="shared" si="753"/>
        <v>х</v>
      </c>
      <c r="AN496" s="5" t="str">
        <f t="shared" si="753"/>
        <v>х</v>
      </c>
      <c r="AO496" s="5" t="str">
        <f t="shared" si="753"/>
        <v>х</v>
      </c>
      <c r="AP496" s="5" t="str">
        <f t="shared" si="753"/>
        <v>х</v>
      </c>
      <c r="AQ496" s="5" t="str">
        <f t="shared" si="753"/>
        <v>х</v>
      </c>
      <c r="AR496" s="5" t="str">
        <f t="shared" si="753"/>
        <v>х</v>
      </c>
      <c r="AS496" s="5" t="str">
        <f t="shared" si="753"/>
        <v>х</v>
      </c>
      <c r="AT496" s="5" t="str">
        <f t="shared" si="753"/>
        <v>х</v>
      </c>
      <c r="AU496" s="5" t="str">
        <f t="shared" si="753"/>
        <v>х</v>
      </c>
      <c r="AV496" s="5" t="str">
        <f t="shared" si="749"/>
        <v>х</v>
      </c>
      <c r="AW496" s="5" t="str">
        <f t="shared" si="749"/>
        <v>х</v>
      </c>
      <c r="AX496" s="5" t="str">
        <f t="shared" si="749"/>
        <v>х</v>
      </c>
      <c r="AY496" s="5" t="str">
        <f t="shared" si="749"/>
        <v>х</v>
      </c>
      <c r="AZ496" s="5" t="str">
        <f t="shared" si="749"/>
        <v>х</v>
      </c>
      <c r="BA496" s="5" t="str">
        <f t="shared" si="749"/>
        <v>х</v>
      </c>
      <c r="BB496" s="5" t="str">
        <f t="shared" si="749"/>
        <v>х</v>
      </c>
      <c r="BC496" s="5" t="str">
        <f t="shared" si="749"/>
        <v>х</v>
      </c>
      <c r="BD496" s="5" t="str">
        <f t="shared" si="749"/>
        <v>х</v>
      </c>
      <c r="BE496" s="5" t="str">
        <f t="shared" si="749"/>
        <v>х</v>
      </c>
      <c r="BF496" s="5" t="str">
        <f t="shared" si="749"/>
        <v>х</v>
      </c>
      <c r="BG496" s="5" t="str">
        <f t="shared" ref="BG496:BQ496" si="754">"х"</f>
        <v>х</v>
      </c>
      <c r="BH496" s="5" t="str">
        <f t="shared" si="754"/>
        <v>х</v>
      </c>
      <c r="BI496" s="5" t="str">
        <f t="shared" si="754"/>
        <v>х</v>
      </c>
      <c r="BJ496" s="5" t="str">
        <f t="shared" si="754"/>
        <v>х</v>
      </c>
      <c r="BK496" s="5" t="str">
        <f t="shared" si="754"/>
        <v>х</v>
      </c>
      <c r="BL496" s="5" t="str">
        <f t="shared" si="754"/>
        <v>х</v>
      </c>
      <c r="BM496" s="5" t="str">
        <f t="shared" si="754"/>
        <v>х</v>
      </c>
      <c r="BN496" s="5" t="str">
        <f t="shared" si="754"/>
        <v>х</v>
      </c>
      <c r="BO496" s="5" t="str">
        <f t="shared" si="754"/>
        <v>х</v>
      </c>
      <c r="BP496" s="5" t="str">
        <f t="shared" si="754"/>
        <v>х</v>
      </c>
      <c r="BQ496" s="5" t="str">
        <f t="shared" si="754"/>
        <v>х</v>
      </c>
      <c r="BR496" s="5" t="str">
        <f>""</f>
        <v/>
      </c>
      <c r="BS496" s="5" t="str">
        <f>"34,00"</f>
        <v>34,00</v>
      </c>
      <c r="BT496" s="5" t="str">
        <f>"2029"</f>
        <v>2029</v>
      </c>
      <c r="BU496" s="5" t="str">
        <f t="shared" si="752"/>
        <v>нет</v>
      </c>
      <c r="BV496" s="5" t="str">
        <f t="shared" si="741"/>
        <v>x</v>
      </c>
      <c r="BW496" s="5" t="str">
        <f t="shared" si="741"/>
        <v>x</v>
      </c>
      <c r="BX496" s="5" t="str">
        <f t="shared" si="741"/>
        <v>x</v>
      </c>
      <c r="BY496" s="5" t="str">
        <f t="shared" si="750"/>
        <v>нет</v>
      </c>
      <c r="BZ496" s="5" t="str">
        <f t="shared" si="751"/>
        <v>x</v>
      </c>
      <c r="CA496" s="5" t="str">
        <f t="shared" si="751"/>
        <v>x</v>
      </c>
      <c r="CB496" s="5" t="str">
        <f t="shared" si="751"/>
        <v>x</v>
      </c>
      <c r="CC496" s="5" t="str">
        <f>""</f>
        <v/>
      </c>
      <c r="CD496" s="5" t="str">
        <f>"34,00"</f>
        <v>34,00</v>
      </c>
      <c r="CE496" s="5" t="str">
        <f>"2029"</f>
        <v>2029</v>
      </c>
      <c r="CF496" s="5" t="str">
        <f>""</f>
        <v/>
      </c>
      <c r="CG496" s="5" t="str">
        <f>"34,00"</f>
        <v>34,00</v>
      </c>
      <c r="CH496" s="5" t="str">
        <f>"2029"</f>
        <v>2029</v>
      </c>
      <c r="CI496" s="5" t="str">
        <f>"34,00"</f>
        <v>34,00</v>
      </c>
      <c r="CJ496" s="5" t="str">
        <f>"2029"</f>
        <v>2029</v>
      </c>
    </row>
    <row r="497" spans="1:88" ht="11.25" customHeight="1">
      <c r="A497" s="3" t="str">
        <f>"1.484"</f>
        <v>1.484</v>
      </c>
      <c r="B497" s="4" t="str">
        <f>"пгт. Вохтога, ул. Железнодорожная, д.26"</f>
        <v>пгт. Вохтога, ул. Железнодорожная, д.26</v>
      </c>
      <c r="C497" s="7" t="str">
        <f>"1968"</f>
        <v>1968</v>
      </c>
      <c r="D497" s="5" t="str">
        <f>""</f>
        <v/>
      </c>
      <c r="E497" s="5" t="str">
        <f>"32,00"</f>
        <v>32,00</v>
      </c>
      <c r="F497" s="5" t="str">
        <f>"2027"</f>
        <v>2027</v>
      </c>
      <c r="G497" s="5" t="str">
        <f t="shared" si="747"/>
        <v>нет</v>
      </c>
      <c r="H497" s="5" t="str">
        <f>""</f>
        <v/>
      </c>
      <c r="I497" s="5" t="str">
        <f>""</f>
        <v/>
      </c>
      <c r="J497" s="5" t="str">
        <f>""</f>
        <v/>
      </c>
      <c r="K497" s="5" t="str">
        <f t="shared" si="748"/>
        <v>нет</v>
      </c>
      <c r="L497" s="5" t="str">
        <f>""</f>
        <v/>
      </c>
      <c r="M497" s="5" t="str">
        <f>""</f>
        <v/>
      </c>
      <c r="N497" s="5" t="str">
        <f>""</f>
        <v/>
      </c>
      <c r="O497" s="8" t="str">
        <f>""</f>
        <v/>
      </c>
      <c r="P497" s="5" t="str">
        <f>""</f>
        <v/>
      </c>
      <c r="Q497" s="5" t="str">
        <f>""</f>
        <v/>
      </c>
      <c r="R497" s="5" t="str">
        <f>""</f>
        <v/>
      </c>
      <c r="S497" s="5" t="str">
        <f>""</f>
        <v/>
      </c>
      <c r="T497" s="5" t="str">
        <f>""</f>
        <v/>
      </c>
      <c r="U497" s="5" t="str">
        <f>""</f>
        <v/>
      </c>
      <c r="V497" s="5" t="str">
        <f>""</f>
        <v/>
      </c>
      <c r="W497" s="5" t="str">
        <f>""</f>
        <v/>
      </c>
      <c r="X497" s="5" t="str">
        <f>""</f>
        <v/>
      </c>
      <c r="Y497" s="9" t="str">
        <f>""</f>
        <v/>
      </c>
      <c r="Z497" s="5" t="str">
        <f>""</f>
        <v/>
      </c>
      <c r="AA497" s="5" t="str">
        <f>""</f>
        <v/>
      </c>
      <c r="AB497" s="5" t="str">
        <f>""</f>
        <v/>
      </c>
      <c r="AC497" s="5" t="str">
        <f>""</f>
        <v/>
      </c>
      <c r="AD497" s="5" t="str">
        <f>""</f>
        <v/>
      </c>
      <c r="AE497" s="5" t="str">
        <f>""</f>
        <v/>
      </c>
      <c r="AF497" s="5" t="str">
        <f>""</f>
        <v/>
      </c>
      <c r="AG497" s="5" t="str">
        <f>""</f>
        <v/>
      </c>
      <c r="AH497" s="5" t="str">
        <f>""</f>
        <v/>
      </c>
      <c r="AI497" s="5" t="str">
        <f>""</f>
        <v/>
      </c>
      <c r="AJ497" s="5" t="str">
        <f>""</f>
        <v/>
      </c>
      <c r="AK497" s="8" t="str">
        <f>""</f>
        <v/>
      </c>
      <c r="AL497" s="5" t="str">
        <f>"32,00"</f>
        <v>32,00</v>
      </c>
      <c r="AM497" s="5" t="str">
        <f>"2027"</f>
        <v>2027</v>
      </c>
      <c r="AN497" s="5" t="str">
        <f t="shared" ref="AN497:AN532" si="755">"нет"</f>
        <v>нет</v>
      </c>
      <c r="AO497" s="5" t="str">
        <f>""</f>
        <v/>
      </c>
      <c r="AP497" s="5" t="str">
        <f>""</f>
        <v/>
      </c>
      <c r="AQ497" s="5" t="str">
        <f>""</f>
        <v/>
      </c>
      <c r="AR497" s="5" t="str">
        <f t="shared" ref="AR497:AR532" si="756">"нет"</f>
        <v>нет</v>
      </c>
      <c r="AS497" s="5" t="str">
        <f>""</f>
        <v/>
      </c>
      <c r="AT497" s="5" t="str">
        <f>""</f>
        <v/>
      </c>
      <c r="AU497" s="5" t="str">
        <f>""</f>
        <v/>
      </c>
      <c r="AV497" s="5" t="str">
        <f t="shared" si="749"/>
        <v>х</v>
      </c>
      <c r="AW497" s="5" t="str">
        <f t="shared" si="749"/>
        <v>х</v>
      </c>
      <c r="AX497" s="5" t="str">
        <f t="shared" si="749"/>
        <v>х</v>
      </c>
      <c r="AY497" s="5" t="str">
        <f t="shared" si="749"/>
        <v>х</v>
      </c>
      <c r="AZ497" s="5" t="str">
        <f t="shared" si="749"/>
        <v>х</v>
      </c>
      <c r="BA497" s="5" t="str">
        <f t="shared" si="749"/>
        <v>х</v>
      </c>
      <c r="BB497" s="5" t="str">
        <f t="shared" si="749"/>
        <v>х</v>
      </c>
      <c r="BC497" s="5" t="str">
        <f t="shared" si="749"/>
        <v>х</v>
      </c>
      <c r="BD497" s="5" t="str">
        <f t="shared" si="749"/>
        <v>х</v>
      </c>
      <c r="BE497" s="5" t="str">
        <f t="shared" si="749"/>
        <v>х</v>
      </c>
      <c r="BF497" s="5" t="str">
        <f t="shared" si="749"/>
        <v>х</v>
      </c>
      <c r="BG497" s="5" t="str">
        <f>""</f>
        <v/>
      </c>
      <c r="BH497" s="5" t="str">
        <f>""</f>
        <v/>
      </c>
      <c r="BI497" s="5" t="str">
        <f>""</f>
        <v/>
      </c>
      <c r="BJ497" s="5" t="str">
        <f>""</f>
        <v/>
      </c>
      <c r="BK497" s="5" t="str">
        <f>""</f>
        <v/>
      </c>
      <c r="BL497" s="5" t="str">
        <f>""</f>
        <v/>
      </c>
      <c r="BM497" s="5" t="str">
        <f>""</f>
        <v/>
      </c>
      <c r="BN497" s="5" t="str">
        <f>""</f>
        <v/>
      </c>
      <c r="BO497" s="5" t="str">
        <f>""</f>
        <v/>
      </c>
      <c r="BP497" s="5" t="str">
        <f>""</f>
        <v/>
      </c>
      <c r="BQ497" s="5" t="str">
        <f>""</f>
        <v/>
      </c>
      <c r="BR497" s="5" t="str">
        <f>""</f>
        <v/>
      </c>
      <c r="BS497" s="5" t="str">
        <f>"32,00"</f>
        <v>32,00</v>
      </c>
      <c r="BT497" s="5" t="str">
        <f>"2027"</f>
        <v>2027</v>
      </c>
      <c r="BU497" s="5" t="str">
        <f t="shared" si="752"/>
        <v>нет</v>
      </c>
      <c r="BV497" s="5" t="str">
        <f t="shared" si="741"/>
        <v>x</v>
      </c>
      <c r="BW497" s="5" t="str">
        <f t="shared" si="741"/>
        <v>x</v>
      </c>
      <c r="BX497" s="5" t="str">
        <f t="shared" si="741"/>
        <v>x</v>
      </c>
      <c r="BY497" s="5" t="str">
        <f t="shared" si="750"/>
        <v>нет</v>
      </c>
      <c r="BZ497" s="5" t="str">
        <f t="shared" si="751"/>
        <v>x</v>
      </c>
      <c r="CA497" s="5" t="str">
        <f t="shared" si="751"/>
        <v>x</v>
      </c>
      <c r="CB497" s="5" t="str">
        <f t="shared" si="751"/>
        <v>x</v>
      </c>
      <c r="CC497" s="5" t="str">
        <f>""</f>
        <v/>
      </c>
      <c r="CD497" s="5" t="str">
        <f>"32,00"</f>
        <v>32,00</v>
      </c>
      <c r="CE497" s="5" t="str">
        <f>"2027"</f>
        <v>2027</v>
      </c>
      <c r="CF497" s="5" t="str">
        <f>""</f>
        <v/>
      </c>
      <c r="CG497" s="5" t="str">
        <f>"32,00"</f>
        <v>32,00</v>
      </c>
      <c r="CH497" s="5" t="str">
        <f>"2027"</f>
        <v>2027</v>
      </c>
      <c r="CI497" s="5" t="str">
        <f>"32,00"</f>
        <v>32,00</v>
      </c>
      <c r="CJ497" s="5" t="str">
        <f>"2027"</f>
        <v>2027</v>
      </c>
    </row>
    <row r="498" spans="1:88" ht="11.25" customHeight="1">
      <c r="A498" s="3" t="str">
        <f>"1.485"</f>
        <v>1.485</v>
      </c>
      <c r="B498" s="4" t="str">
        <f>"пгт. Вохтога, ул. Железнодорожная, д.33"</f>
        <v>пгт. Вохтога, ул. Железнодорожная, д.33</v>
      </c>
      <c r="C498" s="7" t="str">
        <f>"1905"</f>
        <v>1905</v>
      </c>
      <c r="D498" s="5" t="str">
        <f>""</f>
        <v/>
      </c>
      <c r="E498" s="5" t="str">
        <f>"65,00"</f>
        <v>65,00</v>
      </c>
      <c r="F498" s="5" t="str">
        <f>"2020"</f>
        <v>2020</v>
      </c>
      <c r="G498" s="5" t="str">
        <f t="shared" si="747"/>
        <v>нет</v>
      </c>
      <c r="H498" s="5" t="str">
        <f>""</f>
        <v/>
      </c>
      <c r="I498" s="5" t="str">
        <f>""</f>
        <v/>
      </c>
      <c r="J498" s="5" t="str">
        <f>""</f>
        <v/>
      </c>
      <c r="K498" s="5" t="str">
        <f t="shared" si="748"/>
        <v>нет</v>
      </c>
      <c r="L498" s="5" t="str">
        <f>""</f>
        <v/>
      </c>
      <c r="M498" s="5" t="str">
        <f>""</f>
        <v/>
      </c>
      <c r="N498" s="5" t="str">
        <f>""</f>
        <v/>
      </c>
      <c r="O498" s="8" t="str">
        <f>""</f>
        <v/>
      </c>
      <c r="P498" s="5" t="str">
        <f>""</f>
        <v/>
      </c>
      <c r="Q498" s="5" t="str">
        <f>""</f>
        <v/>
      </c>
      <c r="R498" s="5" t="str">
        <f>""</f>
        <v/>
      </c>
      <c r="S498" s="5" t="str">
        <f>""</f>
        <v/>
      </c>
      <c r="T498" s="5" t="str">
        <f>""</f>
        <v/>
      </c>
      <c r="U498" s="5" t="str">
        <f>""</f>
        <v/>
      </c>
      <c r="V498" s="5" t="str">
        <f>""</f>
        <v/>
      </c>
      <c r="W498" s="5" t="str">
        <f>""</f>
        <v/>
      </c>
      <c r="X498" s="5" t="str">
        <f>""</f>
        <v/>
      </c>
      <c r="Y498" s="9" t="str">
        <f>""</f>
        <v/>
      </c>
      <c r="Z498" s="5" t="str">
        <f>""</f>
        <v/>
      </c>
      <c r="AA498" s="5" t="str">
        <f>""</f>
        <v/>
      </c>
      <c r="AB498" s="5" t="str">
        <f>""</f>
        <v/>
      </c>
      <c r="AC498" s="5" t="str">
        <f>""</f>
        <v/>
      </c>
      <c r="AD498" s="5" t="str">
        <f>""</f>
        <v/>
      </c>
      <c r="AE498" s="5" t="str">
        <f>""</f>
        <v/>
      </c>
      <c r="AF498" s="5" t="str">
        <f>""</f>
        <v/>
      </c>
      <c r="AG498" s="5" t="str">
        <f>""</f>
        <v/>
      </c>
      <c r="AH498" s="5" t="str">
        <f>""</f>
        <v/>
      </c>
      <c r="AI498" s="5" t="str">
        <f>""</f>
        <v/>
      </c>
      <c r="AJ498" s="5" t="str">
        <f>""</f>
        <v/>
      </c>
      <c r="AK498" s="8" t="str">
        <f>""</f>
        <v/>
      </c>
      <c r="AL498" s="5" t="str">
        <f>"65,00"</f>
        <v>65,00</v>
      </c>
      <c r="AM498" s="5" t="str">
        <f>"2036"</f>
        <v>2036</v>
      </c>
      <c r="AN498" s="5" t="str">
        <f t="shared" si="755"/>
        <v>нет</v>
      </c>
      <c r="AO498" s="5" t="str">
        <f>""</f>
        <v/>
      </c>
      <c r="AP498" s="5" t="str">
        <f>""</f>
        <v/>
      </c>
      <c r="AQ498" s="5" t="str">
        <f>""</f>
        <v/>
      </c>
      <c r="AR498" s="5" t="str">
        <f t="shared" si="756"/>
        <v>нет</v>
      </c>
      <c r="AS498" s="5" t="str">
        <f>""</f>
        <v/>
      </c>
      <c r="AT498" s="5" t="str">
        <f>""</f>
        <v/>
      </c>
      <c r="AU498" s="5" t="str">
        <f>""</f>
        <v/>
      </c>
      <c r="AV498" s="5" t="str">
        <f t="shared" si="749"/>
        <v>х</v>
      </c>
      <c r="AW498" s="5" t="str">
        <f t="shared" si="749"/>
        <v>х</v>
      </c>
      <c r="AX498" s="5" t="str">
        <f t="shared" si="749"/>
        <v>х</v>
      </c>
      <c r="AY498" s="5" t="str">
        <f t="shared" si="749"/>
        <v>х</v>
      </c>
      <c r="AZ498" s="5" t="str">
        <f t="shared" si="749"/>
        <v>х</v>
      </c>
      <c r="BA498" s="5" t="str">
        <f t="shared" si="749"/>
        <v>х</v>
      </c>
      <c r="BB498" s="5" t="str">
        <f t="shared" si="749"/>
        <v>х</v>
      </c>
      <c r="BC498" s="5" t="str">
        <f t="shared" si="749"/>
        <v>х</v>
      </c>
      <c r="BD498" s="5" t="str">
        <f t="shared" si="749"/>
        <v>х</v>
      </c>
      <c r="BE498" s="5" t="str">
        <f t="shared" si="749"/>
        <v>х</v>
      </c>
      <c r="BF498" s="5" t="str">
        <f t="shared" si="749"/>
        <v>х</v>
      </c>
      <c r="BG498" s="5" t="str">
        <f>""</f>
        <v/>
      </c>
      <c r="BH498" s="5" t="str">
        <f>""</f>
        <v/>
      </c>
      <c r="BI498" s="5" t="str">
        <f>""</f>
        <v/>
      </c>
      <c r="BJ498" s="5" t="str">
        <f>""</f>
        <v/>
      </c>
      <c r="BK498" s="5" t="str">
        <f>""</f>
        <v/>
      </c>
      <c r="BL498" s="5" t="str">
        <f>""</f>
        <v/>
      </c>
      <c r="BM498" s="5" t="str">
        <f>""</f>
        <v/>
      </c>
      <c r="BN498" s="5" t="str">
        <f>""</f>
        <v/>
      </c>
      <c r="BO498" s="5" t="str">
        <f>""</f>
        <v/>
      </c>
      <c r="BP498" s="5" t="str">
        <f>""</f>
        <v/>
      </c>
      <c r="BQ498" s="5" t="str">
        <f>""</f>
        <v/>
      </c>
      <c r="BR498" s="5" t="str">
        <f>""</f>
        <v/>
      </c>
      <c r="BS498" s="5" t="str">
        <f>"65,00"</f>
        <v>65,00</v>
      </c>
      <c r="BT498" s="5" t="str">
        <f>"2017"</f>
        <v>2017</v>
      </c>
      <c r="BU498" s="5" t="str">
        <f t="shared" si="752"/>
        <v>нет</v>
      </c>
      <c r="BV498" s="5" t="str">
        <f t="shared" si="741"/>
        <v>x</v>
      </c>
      <c r="BW498" s="5" t="str">
        <f t="shared" si="741"/>
        <v>x</v>
      </c>
      <c r="BX498" s="5" t="str">
        <f t="shared" si="741"/>
        <v>x</v>
      </c>
      <c r="BY498" s="5" t="str">
        <f t="shared" si="750"/>
        <v>нет</v>
      </c>
      <c r="BZ498" s="5" t="str">
        <f t="shared" si="751"/>
        <v>x</v>
      </c>
      <c r="CA498" s="5" t="str">
        <f t="shared" si="751"/>
        <v>x</v>
      </c>
      <c r="CB498" s="5" t="str">
        <f t="shared" si="751"/>
        <v>x</v>
      </c>
      <c r="CC498" s="5" t="str">
        <f>""</f>
        <v/>
      </c>
      <c r="CD498" s="5" t="str">
        <f>"65,00"</f>
        <v>65,00</v>
      </c>
      <c r="CE498" s="5" t="str">
        <f>"2026"</f>
        <v>2026</v>
      </c>
      <c r="CF498" s="5" t="str">
        <f>""</f>
        <v/>
      </c>
      <c r="CG498" s="5" t="str">
        <f>"65,00"</f>
        <v>65,00</v>
      </c>
      <c r="CH498" s="5" t="str">
        <f>"2026"</f>
        <v>2026</v>
      </c>
      <c r="CI498" s="5" t="str">
        <f>"65,00"</f>
        <v>65,00</v>
      </c>
      <c r="CJ498" s="5" t="str">
        <f>"2026"</f>
        <v>2026</v>
      </c>
    </row>
    <row r="499" spans="1:88" ht="11.25" customHeight="1">
      <c r="A499" s="3" t="str">
        <f>"1.486"</f>
        <v>1.486</v>
      </c>
      <c r="B499" s="4" t="str">
        <f>"пгт. Вохтога, ул. Железнодорожная, д.4"</f>
        <v>пгт. Вохтога, ул. Железнодорожная, д.4</v>
      </c>
      <c r="C499" s="7" t="str">
        <f>"1995"</f>
        <v>1995</v>
      </c>
      <c r="D499" s="5" t="str">
        <f>""</f>
        <v/>
      </c>
      <c r="E499" s="5" t="str">
        <f>"12,00"</f>
        <v>12,00</v>
      </c>
      <c r="F499" s="5" t="str">
        <f>"2020"</f>
        <v>2020</v>
      </c>
      <c r="G499" s="5" t="str">
        <f t="shared" si="747"/>
        <v>нет</v>
      </c>
      <c r="H499" s="5" t="str">
        <f>""</f>
        <v/>
      </c>
      <c r="I499" s="5" t="str">
        <f>""</f>
        <v/>
      </c>
      <c r="J499" s="5" t="str">
        <f>""</f>
        <v/>
      </c>
      <c r="K499" s="5" t="str">
        <f t="shared" si="748"/>
        <v>нет</v>
      </c>
      <c r="L499" s="5" t="str">
        <f>""</f>
        <v/>
      </c>
      <c r="M499" s="5" t="str">
        <f>""</f>
        <v/>
      </c>
      <c r="N499" s="5" t="str">
        <f>""</f>
        <v/>
      </c>
      <c r="O499" s="8" t="str">
        <f>""</f>
        <v/>
      </c>
      <c r="P499" s="5" t="str">
        <f>""</f>
        <v/>
      </c>
      <c r="Q499" s="5" t="str">
        <f>""</f>
        <v/>
      </c>
      <c r="R499" s="5" t="str">
        <f>""</f>
        <v/>
      </c>
      <c r="S499" s="5" t="str">
        <f>""</f>
        <v/>
      </c>
      <c r="T499" s="5" t="str">
        <f>""</f>
        <v/>
      </c>
      <c r="U499" s="5" t="str">
        <f>""</f>
        <v/>
      </c>
      <c r="V499" s="5" t="str">
        <f>""</f>
        <v/>
      </c>
      <c r="W499" s="5" t="str">
        <f>""</f>
        <v/>
      </c>
      <c r="X499" s="5" t="str">
        <f>""</f>
        <v/>
      </c>
      <c r="Y499" s="9" t="str">
        <f>""</f>
        <v/>
      </c>
      <c r="Z499" s="5" t="str">
        <f>""</f>
        <v/>
      </c>
      <c r="AA499" s="5" t="str">
        <f>""</f>
        <v/>
      </c>
      <c r="AB499" s="5" t="str">
        <f>""</f>
        <v/>
      </c>
      <c r="AC499" s="5" t="str">
        <f>""</f>
        <v/>
      </c>
      <c r="AD499" s="5" t="str">
        <f>""</f>
        <v/>
      </c>
      <c r="AE499" s="5" t="str">
        <f>""</f>
        <v/>
      </c>
      <c r="AF499" s="5" t="str">
        <f>""</f>
        <v/>
      </c>
      <c r="AG499" s="5" t="str">
        <f>""</f>
        <v/>
      </c>
      <c r="AH499" s="5" t="str">
        <f>""</f>
        <v/>
      </c>
      <c r="AI499" s="5" t="str">
        <f>""</f>
        <v/>
      </c>
      <c r="AJ499" s="5" t="str">
        <f>""</f>
        <v/>
      </c>
      <c r="AK499" s="8" t="str">
        <f>""</f>
        <v/>
      </c>
      <c r="AL499" s="5" t="str">
        <f>"12,00"</f>
        <v>12,00</v>
      </c>
      <c r="AM499" s="5" t="str">
        <f>"2020"</f>
        <v>2020</v>
      </c>
      <c r="AN499" s="5" t="str">
        <f t="shared" si="755"/>
        <v>нет</v>
      </c>
      <c r="AO499" s="5" t="str">
        <f>""</f>
        <v/>
      </c>
      <c r="AP499" s="5" t="str">
        <f>""</f>
        <v/>
      </c>
      <c r="AQ499" s="5" t="str">
        <f>""</f>
        <v/>
      </c>
      <c r="AR499" s="5" t="str">
        <f t="shared" si="756"/>
        <v>нет</v>
      </c>
      <c r="AS499" s="5" t="str">
        <f>""</f>
        <v/>
      </c>
      <c r="AT499" s="5" t="str">
        <f>""</f>
        <v/>
      </c>
      <c r="AU499" s="5" t="str">
        <f>""</f>
        <v/>
      </c>
      <c r="AV499" s="5" t="str">
        <f t="shared" si="749"/>
        <v>х</v>
      </c>
      <c r="AW499" s="5" t="str">
        <f t="shared" si="749"/>
        <v>х</v>
      </c>
      <c r="AX499" s="5" t="str">
        <f t="shared" si="749"/>
        <v>х</v>
      </c>
      <c r="AY499" s="5" t="str">
        <f t="shared" si="749"/>
        <v>х</v>
      </c>
      <c r="AZ499" s="5" t="str">
        <f t="shared" si="749"/>
        <v>х</v>
      </c>
      <c r="BA499" s="5" t="str">
        <f t="shared" si="749"/>
        <v>х</v>
      </c>
      <c r="BB499" s="5" t="str">
        <f t="shared" si="749"/>
        <v>х</v>
      </c>
      <c r="BC499" s="5" t="str">
        <f t="shared" si="749"/>
        <v>х</v>
      </c>
      <c r="BD499" s="5" t="str">
        <f t="shared" si="749"/>
        <v>х</v>
      </c>
      <c r="BE499" s="5" t="str">
        <f t="shared" si="749"/>
        <v>х</v>
      </c>
      <c r="BF499" s="5" t="str">
        <f t="shared" si="749"/>
        <v>х</v>
      </c>
      <c r="BG499" s="5" t="str">
        <f>""</f>
        <v/>
      </c>
      <c r="BH499" s="5" t="str">
        <f>""</f>
        <v/>
      </c>
      <c r="BI499" s="5" t="str">
        <f>""</f>
        <v/>
      </c>
      <c r="BJ499" s="5" t="str">
        <f>""</f>
        <v/>
      </c>
      <c r="BK499" s="5" t="str">
        <f>""</f>
        <v/>
      </c>
      <c r="BL499" s="5" t="str">
        <f>""</f>
        <v/>
      </c>
      <c r="BM499" s="5" t="str">
        <f>""</f>
        <v/>
      </c>
      <c r="BN499" s="5" t="str">
        <f>""</f>
        <v/>
      </c>
      <c r="BO499" s="5" t="str">
        <f>""</f>
        <v/>
      </c>
      <c r="BP499" s="5" t="str">
        <f>""</f>
        <v/>
      </c>
      <c r="BQ499" s="5" t="str">
        <f>""</f>
        <v/>
      </c>
      <c r="BR499" s="5" t="str">
        <f>""</f>
        <v/>
      </c>
      <c r="BS499" s="5" t="str">
        <f>"12,00"</f>
        <v>12,00</v>
      </c>
      <c r="BT499" s="5" t="str">
        <f>"2020"</f>
        <v>2020</v>
      </c>
      <c r="BU499" s="5" t="str">
        <f t="shared" si="752"/>
        <v>нет</v>
      </c>
      <c r="BV499" s="5" t="str">
        <f t="shared" si="741"/>
        <v>x</v>
      </c>
      <c r="BW499" s="5" t="str">
        <f t="shared" si="741"/>
        <v>x</v>
      </c>
      <c r="BX499" s="5" t="str">
        <f t="shared" si="741"/>
        <v>x</v>
      </c>
      <c r="BY499" s="5" t="str">
        <f t="shared" si="750"/>
        <v>нет</v>
      </c>
      <c r="BZ499" s="5" t="str">
        <f t="shared" si="751"/>
        <v>x</v>
      </c>
      <c r="CA499" s="5" t="str">
        <f t="shared" si="751"/>
        <v>x</v>
      </c>
      <c r="CB499" s="5" t="str">
        <f t="shared" si="751"/>
        <v>x</v>
      </c>
      <c r="CC499" s="5" t="str">
        <f>""</f>
        <v/>
      </c>
      <c r="CD499" s="5" t="str">
        <f>"12,00"</f>
        <v>12,00</v>
      </c>
      <c r="CE499" s="5" t="str">
        <f>"2020"</f>
        <v>2020</v>
      </c>
      <c r="CF499" s="5" t="str">
        <f>""</f>
        <v/>
      </c>
      <c r="CG499" s="5" t="str">
        <f>"12,00"</f>
        <v>12,00</v>
      </c>
      <c r="CH499" s="5" t="str">
        <f>"2020"</f>
        <v>2020</v>
      </c>
      <c r="CI499" s="5" t="str">
        <f>"12,00"</f>
        <v>12,00</v>
      </c>
      <c r="CJ499" s="5" t="str">
        <f>"2020"</f>
        <v>2020</v>
      </c>
    </row>
    <row r="500" spans="1:88" ht="11.25" customHeight="1">
      <c r="A500" s="3" t="str">
        <f>"1.487"</f>
        <v>1.487</v>
      </c>
      <c r="B500" s="4" t="str">
        <f>"пгт. Вохтога, ул. Железнодорожная, д.45"</f>
        <v>пгт. Вохтога, ул. Железнодорожная, д.45</v>
      </c>
      <c r="C500" s="7" t="str">
        <f>"1955"</f>
        <v>1955</v>
      </c>
      <c r="D500" s="5" t="str">
        <f>""</f>
        <v/>
      </c>
      <c r="E500" s="5" t="str">
        <f>"25,00"</f>
        <v>25,00</v>
      </c>
      <c r="F500" s="5" t="str">
        <f>"2019"</f>
        <v>2019</v>
      </c>
      <c r="G500" s="5" t="str">
        <f t="shared" si="747"/>
        <v>нет</v>
      </c>
      <c r="H500" s="5" t="str">
        <f>""</f>
        <v/>
      </c>
      <c r="I500" s="5" t="str">
        <f>""</f>
        <v/>
      </c>
      <c r="J500" s="5" t="str">
        <f>""</f>
        <v/>
      </c>
      <c r="K500" s="5" t="str">
        <f t="shared" si="748"/>
        <v>нет</v>
      </c>
      <c r="L500" s="5" t="str">
        <f>""</f>
        <v/>
      </c>
      <c r="M500" s="5" t="str">
        <f>""</f>
        <v/>
      </c>
      <c r="N500" s="5" t="str">
        <f>""</f>
        <v/>
      </c>
      <c r="O500" s="8" t="str">
        <f>""</f>
        <v/>
      </c>
      <c r="P500" s="5" t="str">
        <f>""</f>
        <v/>
      </c>
      <c r="Q500" s="5" t="str">
        <f>""</f>
        <v/>
      </c>
      <c r="R500" s="5" t="str">
        <f>""</f>
        <v/>
      </c>
      <c r="S500" s="5" t="str">
        <f>""</f>
        <v/>
      </c>
      <c r="T500" s="5" t="str">
        <f>""</f>
        <v/>
      </c>
      <c r="U500" s="5" t="str">
        <f>""</f>
        <v/>
      </c>
      <c r="V500" s="5" t="str">
        <f>""</f>
        <v/>
      </c>
      <c r="W500" s="5" t="str">
        <f>""</f>
        <v/>
      </c>
      <c r="X500" s="5" t="str">
        <f>""</f>
        <v/>
      </c>
      <c r="Y500" s="9" t="str">
        <f>""</f>
        <v/>
      </c>
      <c r="Z500" s="5" t="str">
        <f>""</f>
        <v/>
      </c>
      <c r="AA500" s="5" t="str">
        <f>""</f>
        <v/>
      </c>
      <c r="AB500" s="5" t="str">
        <f>""</f>
        <v/>
      </c>
      <c r="AC500" s="5" t="str">
        <f>""</f>
        <v/>
      </c>
      <c r="AD500" s="5" t="str">
        <f>""</f>
        <v/>
      </c>
      <c r="AE500" s="5" t="str">
        <f>""</f>
        <v/>
      </c>
      <c r="AF500" s="5" t="str">
        <f>""</f>
        <v/>
      </c>
      <c r="AG500" s="5" t="str">
        <f>""</f>
        <v/>
      </c>
      <c r="AH500" s="5" t="str">
        <f>""</f>
        <v/>
      </c>
      <c r="AI500" s="5" t="str">
        <f>""</f>
        <v/>
      </c>
      <c r="AJ500" s="5" t="str">
        <f>""</f>
        <v/>
      </c>
      <c r="AK500" s="8" t="str">
        <f>""</f>
        <v/>
      </c>
      <c r="AL500" s="5" t="str">
        <f>"25,00"</f>
        <v>25,00</v>
      </c>
      <c r="AM500" s="5" t="str">
        <f>"2019"</f>
        <v>2019</v>
      </c>
      <c r="AN500" s="5" t="str">
        <f t="shared" si="755"/>
        <v>нет</v>
      </c>
      <c r="AO500" s="5" t="str">
        <f>""</f>
        <v/>
      </c>
      <c r="AP500" s="5" t="str">
        <f>""</f>
        <v/>
      </c>
      <c r="AQ500" s="5" t="str">
        <f>""</f>
        <v/>
      </c>
      <c r="AR500" s="5" t="str">
        <f t="shared" si="756"/>
        <v>нет</v>
      </c>
      <c r="AS500" s="5" t="str">
        <f>""</f>
        <v/>
      </c>
      <c r="AT500" s="5" t="str">
        <f>""</f>
        <v/>
      </c>
      <c r="AU500" s="5" t="str">
        <f>""</f>
        <v/>
      </c>
      <c r="AV500" s="5" t="str">
        <f t="shared" si="749"/>
        <v>х</v>
      </c>
      <c r="AW500" s="5" t="str">
        <f t="shared" si="749"/>
        <v>х</v>
      </c>
      <c r="AX500" s="5" t="str">
        <f t="shared" si="749"/>
        <v>х</v>
      </c>
      <c r="AY500" s="5" t="str">
        <f t="shared" si="749"/>
        <v>х</v>
      </c>
      <c r="AZ500" s="5" t="str">
        <f t="shared" si="749"/>
        <v>х</v>
      </c>
      <c r="BA500" s="5" t="str">
        <f t="shared" si="749"/>
        <v>х</v>
      </c>
      <c r="BB500" s="5" t="str">
        <f t="shared" si="749"/>
        <v>х</v>
      </c>
      <c r="BC500" s="5" t="str">
        <f t="shared" si="749"/>
        <v>х</v>
      </c>
      <c r="BD500" s="5" t="str">
        <f t="shared" si="749"/>
        <v>х</v>
      </c>
      <c r="BE500" s="5" t="str">
        <f t="shared" si="749"/>
        <v>х</v>
      </c>
      <c r="BF500" s="5" t="str">
        <f t="shared" si="749"/>
        <v>х</v>
      </c>
      <c r="BG500" s="5" t="str">
        <f>""</f>
        <v/>
      </c>
      <c r="BH500" s="5" t="str">
        <f>""</f>
        <v/>
      </c>
      <c r="BI500" s="5" t="str">
        <f>""</f>
        <v/>
      </c>
      <c r="BJ500" s="5" t="str">
        <f>""</f>
        <v/>
      </c>
      <c r="BK500" s="5" t="str">
        <f>""</f>
        <v/>
      </c>
      <c r="BL500" s="5" t="str">
        <f>""</f>
        <v/>
      </c>
      <c r="BM500" s="5" t="str">
        <f>""</f>
        <v/>
      </c>
      <c r="BN500" s="5" t="str">
        <f>""</f>
        <v/>
      </c>
      <c r="BO500" s="5" t="str">
        <f>""</f>
        <v/>
      </c>
      <c r="BP500" s="5" t="str">
        <f>""</f>
        <v/>
      </c>
      <c r="BQ500" s="5" t="str">
        <f>""</f>
        <v/>
      </c>
      <c r="BR500" s="5" t="str">
        <f>""</f>
        <v/>
      </c>
      <c r="BS500" s="5" t="str">
        <f>"25,00"</f>
        <v>25,00</v>
      </c>
      <c r="BT500" s="5" t="str">
        <f>"2018"</f>
        <v>2018</v>
      </c>
      <c r="BU500" s="5" t="str">
        <f t="shared" si="752"/>
        <v>нет</v>
      </c>
      <c r="BV500" s="5" t="str">
        <f t="shared" ref="BV500:BX519" si="757">"x"</f>
        <v>x</v>
      </c>
      <c r="BW500" s="5" t="str">
        <f t="shared" si="757"/>
        <v>x</v>
      </c>
      <c r="BX500" s="5" t="str">
        <f t="shared" si="757"/>
        <v>x</v>
      </c>
      <c r="BY500" s="5" t="str">
        <f t="shared" si="750"/>
        <v>нет</v>
      </c>
      <c r="BZ500" s="5" t="str">
        <f t="shared" si="751"/>
        <v>x</v>
      </c>
      <c r="CA500" s="5" t="str">
        <f t="shared" si="751"/>
        <v>x</v>
      </c>
      <c r="CB500" s="5" t="str">
        <f t="shared" si="751"/>
        <v>x</v>
      </c>
      <c r="CC500" s="5" t="str">
        <f>""</f>
        <v/>
      </c>
      <c r="CD500" s="5" t="str">
        <f>"25,00"</f>
        <v>25,00</v>
      </c>
      <c r="CE500" s="5" t="str">
        <f>"2019"</f>
        <v>2019</v>
      </c>
      <c r="CF500" s="5" t="str">
        <f>""</f>
        <v/>
      </c>
      <c r="CG500" s="5" t="str">
        <f>"25,00"</f>
        <v>25,00</v>
      </c>
      <c r="CH500" s="5" t="str">
        <f>"2019"</f>
        <v>2019</v>
      </c>
      <c r="CI500" s="5" t="str">
        <f>"25,00"</f>
        <v>25,00</v>
      </c>
      <c r="CJ500" s="5" t="str">
        <f>"2019"</f>
        <v>2019</v>
      </c>
    </row>
    <row r="501" spans="1:88" ht="11.25" customHeight="1">
      <c r="A501" s="3" t="str">
        <f>"1.488"</f>
        <v>1.488</v>
      </c>
      <c r="B501" s="4" t="str">
        <f>"пгт. Вохтога, ул. Железнодорожная, д.5"</f>
        <v>пгт. Вохтога, ул. Железнодорожная, д.5</v>
      </c>
      <c r="C501" s="7" t="str">
        <f>"1951"</f>
        <v>1951</v>
      </c>
      <c r="D501" s="5" t="str">
        <f>""</f>
        <v/>
      </c>
      <c r="E501" s="5" t="str">
        <f>"59,00"</f>
        <v>59,00</v>
      </c>
      <c r="F501" s="5" t="str">
        <f>"2020"</f>
        <v>2020</v>
      </c>
      <c r="G501" s="5" t="str">
        <f t="shared" si="747"/>
        <v>нет</v>
      </c>
      <c r="H501" s="5" t="str">
        <f>""</f>
        <v/>
      </c>
      <c r="I501" s="5" t="str">
        <f>""</f>
        <v/>
      </c>
      <c r="J501" s="5" t="str">
        <f>""</f>
        <v/>
      </c>
      <c r="K501" s="5" t="str">
        <f t="shared" si="748"/>
        <v>нет</v>
      </c>
      <c r="L501" s="5" t="str">
        <f>""</f>
        <v/>
      </c>
      <c r="M501" s="5" t="str">
        <f>""</f>
        <v/>
      </c>
      <c r="N501" s="5" t="str">
        <f>""</f>
        <v/>
      </c>
      <c r="O501" s="8" t="str">
        <f>""</f>
        <v/>
      </c>
      <c r="P501" s="5" t="str">
        <f>""</f>
        <v/>
      </c>
      <c r="Q501" s="5" t="str">
        <f>""</f>
        <v/>
      </c>
      <c r="R501" s="5" t="str">
        <f>""</f>
        <v/>
      </c>
      <c r="S501" s="5" t="str">
        <f>""</f>
        <v/>
      </c>
      <c r="T501" s="5" t="str">
        <f>""</f>
        <v/>
      </c>
      <c r="U501" s="5" t="str">
        <f>""</f>
        <v/>
      </c>
      <c r="V501" s="5" t="str">
        <f>""</f>
        <v/>
      </c>
      <c r="W501" s="5" t="str">
        <f>""</f>
        <v/>
      </c>
      <c r="X501" s="5" t="str">
        <f>""</f>
        <v/>
      </c>
      <c r="Y501" s="9" t="str">
        <f>""</f>
        <v/>
      </c>
      <c r="Z501" s="5" t="str">
        <f>""</f>
        <v/>
      </c>
      <c r="AA501" s="5" t="str">
        <f>""</f>
        <v/>
      </c>
      <c r="AB501" s="5" t="str">
        <f>""</f>
        <v/>
      </c>
      <c r="AC501" s="5" t="str">
        <f>""</f>
        <v/>
      </c>
      <c r="AD501" s="5" t="str">
        <f>""</f>
        <v/>
      </c>
      <c r="AE501" s="5" t="str">
        <f>""</f>
        <v/>
      </c>
      <c r="AF501" s="5" t="str">
        <f>""</f>
        <v/>
      </c>
      <c r="AG501" s="5" t="str">
        <f>""</f>
        <v/>
      </c>
      <c r="AH501" s="5" t="str">
        <f>""</f>
        <v/>
      </c>
      <c r="AI501" s="5" t="str">
        <f>""</f>
        <v/>
      </c>
      <c r="AJ501" s="5" t="str">
        <f>""</f>
        <v/>
      </c>
      <c r="AK501" s="8" t="str">
        <f>""</f>
        <v/>
      </c>
      <c r="AL501" s="5" t="str">
        <f>"59,00"</f>
        <v>59,00</v>
      </c>
      <c r="AM501" s="5" t="str">
        <f>"2020"</f>
        <v>2020</v>
      </c>
      <c r="AN501" s="5" t="str">
        <f t="shared" si="755"/>
        <v>нет</v>
      </c>
      <c r="AO501" s="5" t="str">
        <f>""</f>
        <v/>
      </c>
      <c r="AP501" s="5" t="str">
        <f>""</f>
        <v/>
      </c>
      <c r="AQ501" s="5" t="str">
        <f>""</f>
        <v/>
      </c>
      <c r="AR501" s="5" t="str">
        <f t="shared" si="756"/>
        <v>нет</v>
      </c>
      <c r="AS501" s="5" t="str">
        <f>""</f>
        <v/>
      </c>
      <c r="AT501" s="5" t="str">
        <f>""</f>
        <v/>
      </c>
      <c r="AU501" s="5" t="str">
        <f>""</f>
        <v/>
      </c>
      <c r="AV501" s="5" t="str">
        <f t="shared" ref="AV501:BF512" si="758">"х"</f>
        <v>х</v>
      </c>
      <c r="AW501" s="5" t="str">
        <f t="shared" si="758"/>
        <v>х</v>
      </c>
      <c r="AX501" s="5" t="str">
        <f t="shared" si="758"/>
        <v>х</v>
      </c>
      <c r="AY501" s="5" t="str">
        <f t="shared" si="758"/>
        <v>х</v>
      </c>
      <c r="AZ501" s="5" t="str">
        <f t="shared" si="758"/>
        <v>х</v>
      </c>
      <c r="BA501" s="5" t="str">
        <f t="shared" si="758"/>
        <v>х</v>
      </c>
      <c r="BB501" s="5" t="str">
        <f t="shared" si="758"/>
        <v>х</v>
      </c>
      <c r="BC501" s="5" t="str">
        <f t="shared" si="758"/>
        <v>х</v>
      </c>
      <c r="BD501" s="5" t="str">
        <f t="shared" si="758"/>
        <v>х</v>
      </c>
      <c r="BE501" s="5" t="str">
        <f t="shared" si="758"/>
        <v>х</v>
      </c>
      <c r="BF501" s="5" t="str">
        <f t="shared" si="758"/>
        <v>х</v>
      </c>
      <c r="BG501" s="5" t="str">
        <f>""</f>
        <v/>
      </c>
      <c r="BH501" s="5" t="str">
        <f>""</f>
        <v/>
      </c>
      <c r="BI501" s="5" t="str">
        <f>""</f>
        <v/>
      </c>
      <c r="BJ501" s="5" t="str">
        <f>""</f>
        <v/>
      </c>
      <c r="BK501" s="5" t="str">
        <f>""</f>
        <v/>
      </c>
      <c r="BL501" s="5" t="str">
        <f>""</f>
        <v/>
      </c>
      <c r="BM501" s="5" t="str">
        <f>""</f>
        <v/>
      </c>
      <c r="BN501" s="5" t="str">
        <f>""</f>
        <v/>
      </c>
      <c r="BO501" s="5" t="str">
        <f>""</f>
        <v/>
      </c>
      <c r="BP501" s="5" t="str">
        <f>""</f>
        <v/>
      </c>
      <c r="BQ501" s="5" t="str">
        <f>""</f>
        <v/>
      </c>
      <c r="BR501" s="5" t="str">
        <f>""</f>
        <v/>
      </c>
      <c r="BS501" s="5" t="str">
        <f>"59,00"</f>
        <v>59,00</v>
      </c>
      <c r="BT501" s="5" t="str">
        <f>"2020"</f>
        <v>2020</v>
      </c>
      <c r="BU501" s="5" t="str">
        <f t="shared" si="752"/>
        <v>нет</v>
      </c>
      <c r="BV501" s="5" t="str">
        <f t="shared" si="757"/>
        <v>x</v>
      </c>
      <c r="BW501" s="5" t="str">
        <f t="shared" si="757"/>
        <v>x</v>
      </c>
      <c r="BX501" s="5" t="str">
        <f t="shared" si="757"/>
        <v>x</v>
      </c>
      <c r="BY501" s="5" t="str">
        <f t="shared" si="750"/>
        <v>нет</v>
      </c>
      <c r="BZ501" s="5" t="str">
        <f t="shared" si="751"/>
        <v>x</v>
      </c>
      <c r="CA501" s="5" t="str">
        <f t="shared" si="751"/>
        <v>x</v>
      </c>
      <c r="CB501" s="5" t="str">
        <f t="shared" si="751"/>
        <v>x</v>
      </c>
      <c r="CC501" s="5" t="str">
        <f>""</f>
        <v/>
      </c>
      <c r="CD501" s="5" t="str">
        <f>"59,00"</f>
        <v>59,00</v>
      </c>
      <c r="CE501" s="5" t="str">
        <f>"2020"</f>
        <v>2020</v>
      </c>
      <c r="CF501" s="5" t="str">
        <f>""</f>
        <v/>
      </c>
      <c r="CG501" s="5" t="str">
        <f>"59,00"</f>
        <v>59,00</v>
      </c>
      <c r="CH501" s="5" t="str">
        <f>"2020"</f>
        <v>2020</v>
      </c>
      <c r="CI501" s="5" t="str">
        <f>"59,00"</f>
        <v>59,00</v>
      </c>
      <c r="CJ501" s="5" t="str">
        <f>"2020"</f>
        <v>2020</v>
      </c>
    </row>
    <row r="502" spans="1:88" ht="11.25" customHeight="1">
      <c r="A502" s="3" t="str">
        <f>"1.489"</f>
        <v>1.489</v>
      </c>
      <c r="B502" s="4" t="str">
        <f>"пгт. Вохтога, ул. Железнодорожная, д.56"</f>
        <v>пгт. Вохтога, ул. Железнодорожная, д.56</v>
      </c>
      <c r="C502" s="7" t="str">
        <f>"1936"</f>
        <v>1936</v>
      </c>
      <c r="D502" s="5" t="str">
        <f>""</f>
        <v/>
      </c>
      <c r="E502" s="5" t="str">
        <f>"63,00"</f>
        <v>63,00</v>
      </c>
      <c r="F502" s="5" t="str">
        <f>"2020"</f>
        <v>2020</v>
      </c>
      <c r="G502" s="5" t="str">
        <f t="shared" si="747"/>
        <v>нет</v>
      </c>
      <c r="H502" s="5" t="str">
        <f>""</f>
        <v/>
      </c>
      <c r="I502" s="5" t="str">
        <f>""</f>
        <v/>
      </c>
      <c r="J502" s="5" t="str">
        <f>""</f>
        <v/>
      </c>
      <c r="K502" s="5" t="str">
        <f t="shared" si="748"/>
        <v>нет</v>
      </c>
      <c r="L502" s="5" t="str">
        <f>""</f>
        <v/>
      </c>
      <c r="M502" s="5" t="str">
        <f>""</f>
        <v/>
      </c>
      <c r="N502" s="5" t="str">
        <f>""</f>
        <v/>
      </c>
      <c r="O502" s="8" t="str">
        <f>""</f>
        <v/>
      </c>
      <c r="P502" s="5" t="str">
        <f>""</f>
        <v/>
      </c>
      <c r="Q502" s="5" t="str">
        <f>""</f>
        <v/>
      </c>
      <c r="R502" s="5" t="str">
        <f>""</f>
        <v/>
      </c>
      <c r="S502" s="5" t="str">
        <f>""</f>
        <v/>
      </c>
      <c r="T502" s="5" t="str">
        <f>""</f>
        <v/>
      </c>
      <c r="U502" s="5" t="str">
        <f>""</f>
        <v/>
      </c>
      <c r="V502" s="5" t="str">
        <f>""</f>
        <v/>
      </c>
      <c r="W502" s="5" t="str">
        <f>""</f>
        <v/>
      </c>
      <c r="X502" s="5" t="str">
        <f>""</f>
        <v/>
      </c>
      <c r="Y502" s="9" t="str">
        <f>""</f>
        <v/>
      </c>
      <c r="Z502" s="5" t="str">
        <f>""</f>
        <v/>
      </c>
      <c r="AA502" s="5" t="str">
        <f>""</f>
        <v/>
      </c>
      <c r="AB502" s="5" t="str">
        <f>""</f>
        <v/>
      </c>
      <c r="AC502" s="5" t="str">
        <f>""</f>
        <v/>
      </c>
      <c r="AD502" s="5" t="str">
        <f>""</f>
        <v/>
      </c>
      <c r="AE502" s="5" t="str">
        <f>""</f>
        <v/>
      </c>
      <c r="AF502" s="5" t="str">
        <f>""</f>
        <v/>
      </c>
      <c r="AG502" s="5" t="str">
        <f>""</f>
        <v/>
      </c>
      <c r="AH502" s="5" t="str">
        <f>""</f>
        <v/>
      </c>
      <c r="AI502" s="5" t="str">
        <f>""</f>
        <v/>
      </c>
      <c r="AJ502" s="5" t="str">
        <f>""</f>
        <v/>
      </c>
      <c r="AK502" s="8" t="str">
        <f>""</f>
        <v/>
      </c>
      <c r="AL502" s="5" t="str">
        <f>"63,00"</f>
        <v>63,00</v>
      </c>
      <c r="AM502" s="5" t="str">
        <f>"2020"</f>
        <v>2020</v>
      </c>
      <c r="AN502" s="5" t="str">
        <f t="shared" si="755"/>
        <v>нет</v>
      </c>
      <c r="AO502" s="5" t="str">
        <f>""</f>
        <v/>
      </c>
      <c r="AP502" s="5" t="str">
        <f>""</f>
        <v/>
      </c>
      <c r="AQ502" s="5" t="str">
        <f>""</f>
        <v/>
      </c>
      <c r="AR502" s="5" t="str">
        <f t="shared" si="756"/>
        <v>нет</v>
      </c>
      <c r="AS502" s="5" t="str">
        <f>""</f>
        <v/>
      </c>
      <c r="AT502" s="5" t="str">
        <f>""</f>
        <v/>
      </c>
      <c r="AU502" s="5" t="str">
        <f>""</f>
        <v/>
      </c>
      <c r="AV502" s="5" t="str">
        <f t="shared" si="758"/>
        <v>х</v>
      </c>
      <c r="AW502" s="5" t="str">
        <f t="shared" si="758"/>
        <v>х</v>
      </c>
      <c r="AX502" s="5" t="str">
        <f t="shared" si="758"/>
        <v>х</v>
      </c>
      <c r="AY502" s="5" t="str">
        <f t="shared" si="758"/>
        <v>х</v>
      </c>
      <c r="AZ502" s="5" t="str">
        <f t="shared" si="758"/>
        <v>х</v>
      </c>
      <c r="BA502" s="5" t="str">
        <f t="shared" si="758"/>
        <v>х</v>
      </c>
      <c r="BB502" s="5" t="str">
        <f t="shared" si="758"/>
        <v>х</v>
      </c>
      <c r="BC502" s="5" t="str">
        <f t="shared" si="758"/>
        <v>х</v>
      </c>
      <c r="BD502" s="5" t="str">
        <f t="shared" si="758"/>
        <v>х</v>
      </c>
      <c r="BE502" s="5" t="str">
        <f t="shared" si="758"/>
        <v>х</v>
      </c>
      <c r="BF502" s="5" t="str">
        <f t="shared" si="758"/>
        <v>х</v>
      </c>
      <c r="BG502" s="5" t="str">
        <f>""</f>
        <v/>
      </c>
      <c r="BH502" s="5" t="str">
        <f>""</f>
        <v/>
      </c>
      <c r="BI502" s="5" t="str">
        <f>""</f>
        <v/>
      </c>
      <c r="BJ502" s="5" t="str">
        <f>""</f>
        <v/>
      </c>
      <c r="BK502" s="5" t="str">
        <f>""</f>
        <v/>
      </c>
      <c r="BL502" s="5" t="str">
        <f>""</f>
        <v/>
      </c>
      <c r="BM502" s="5" t="str">
        <f>""</f>
        <v/>
      </c>
      <c r="BN502" s="5" t="str">
        <f>""</f>
        <v/>
      </c>
      <c r="BO502" s="5" t="str">
        <f>""</f>
        <v/>
      </c>
      <c r="BP502" s="5" t="str">
        <f>""</f>
        <v/>
      </c>
      <c r="BQ502" s="5" t="str">
        <f>""</f>
        <v/>
      </c>
      <c r="BR502" s="5" t="str">
        <f>""</f>
        <v/>
      </c>
      <c r="BS502" s="5" t="str">
        <f>"63,00"</f>
        <v>63,00</v>
      </c>
      <c r="BT502" s="5" t="str">
        <f>"2020"</f>
        <v>2020</v>
      </c>
      <c r="BU502" s="5" t="str">
        <f t="shared" si="752"/>
        <v>нет</v>
      </c>
      <c r="BV502" s="5" t="str">
        <f t="shared" si="757"/>
        <v>x</v>
      </c>
      <c r="BW502" s="5" t="str">
        <f t="shared" si="757"/>
        <v>x</v>
      </c>
      <c r="BX502" s="5" t="str">
        <f t="shared" si="757"/>
        <v>x</v>
      </c>
      <c r="BY502" s="5" t="str">
        <f t="shared" si="750"/>
        <v>нет</v>
      </c>
      <c r="BZ502" s="5" t="str">
        <f t="shared" si="751"/>
        <v>x</v>
      </c>
      <c r="CA502" s="5" t="str">
        <f t="shared" si="751"/>
        <v>x</v>
      </c>
      <c r="CB502" s="5" t="str">
        <f t="shared" si="751"/>
        <v>x</v>
      </c>
      <c r="CC502" s="5" t="str">
        <f>""</f>
        <v/>
      </c>
      <c r="CD502" s="5" t="str">
        <f>"63,00"</f>
        <v>63,00</v>
      </c>
      <c r="CE502" s="5" t="str">
        <f>"2020"</f>
        <v>2020</v>
      </c>
      <c r="CF502" s="5" t="str">
        <f>""</f>
        <v/>
      </c>
      <c r="CG502" s="5" t="str">
        <f>"63,00"</f>
        <v>63,00</v>
      </c>
      <c r="CH502" s="5" t="str">
        <f>"2020"</f>
        <v>2020</v>
      </c>
      <c r="CI502" s="5" t="str">
        <f>"63,00"</f>
        <v>63,00</v>
      </c>
      <c r="CJ502" s="5" t="str">
        <f>"2020"</f>
        <v>2020</v>
      </c>
    </row>
    <row r="503" spans="1:88" ht="11.25" customHeight="1">
      <c r="A503" s="3" t="str">
        <f>"1.490"</f>
        <v>1.490</v>
      </c>
      <c r="B503" s="4" t="str">
        <f>"пгт. Вохтога, ул. Заводская, д.1"</f>
        <v>пгт. Вохтога, ул. Заводская, д.1</v>
      </c>
      <c r="C503" s="7" t="str">
        <f>"1957"</f>
        <v>1957</v>
      </c>
      <c r="D503" s="5" t="str">
        <f>""</f>
        <v/>
      </c>
      <c r="E503" s="5" t="str">
        <f>"47,00"</f>
        <v>47,00</v>
      </c>
      <c r="F503" s="5" t="str">
        <f>"2025"</f>
        <v>2025</v>
      </c>
      <c r="G503" s="5" t="str">
        <f t="shared" si="747"/>
        <v>нет</v>
      </c>
      <c r="H503" s="5" t="str">
        <f>""</f>
        <v/>
      </c>
      <c r="I503" s="5" t="str">
        <f>""</f>
        <v/>
      </c>
      <c r="J503" s="5" t="str">
        <f>""</f>
        <v/>
      </c>
      <c r="K503" s="5" t="str">
        <f t="shared" si="748"/>
        <v>нет</v>
      </c>
      <c r="L503" s="5" t="str">
        <f>""</f>
        <v/>
      </c>
      <c r="M503" s="5" t="str">
        <f>""</f>
        <v/>
      </c>
      <c r="N503" s="5" t="str">
        <f>""</f>
        <v/>
      </c>
      <c r="O503" s="8" t="str">
        <f>""</f>
        <v/>
      </c>
      <c r="P503" s="5" t="str">
        <f>""</f>
        <v/>
      </c>
      <c r="Q503" s="5" t="str">
        <f>""</f>
        <v/>
      </c>
      <c r="R503" s="5" t="str">
        <f>""</f>
        <v/>
      </c>
      <c r="S503" s="5" t="str">
        <f>""</f>
        <v/>
      </c>
      <c r="T503" s="5" t="str">
        <f>""</f>
        <v/>
      </c>
      <c r="U503" s="5" t="str">
        <f>""</f>
        <v/>
      </c>
      <c r="V503" s="5" t="str">
        <f>""</f>
        <v/>
      </c>
      <c r="W503" s="5" t="str">
        <f>""</f>
        <v/>
      </c>
      <c r="X503" s="5" t="str">
        <f>""</f>
        <v/>
      </c>
      <c r="Y503" s="9" t="str">
        <f>""</f>
        <v/>
      </c>
      <c r="Z503" s="5" t="str">
        <f>""</f>
        <v/>
      </c>
      <c r="AA503" s="5" t="str">
        <f>""</f>
        <v/>
      </c>
      <c r="AB503" s="5" t="str">
        <f>""</f>
        <v/>
      </c>
      <c r="AC503" s="5" t="str">
        <f>""</f>
        <v/>
      </c>
      <c r="AD503" s="5" t="str">
        <f>""</f>
        <v/>
      </c>
      <c r="AE503" s="5" t="str">
        <f>""</f>
        <v/>
      </c>
      <c r="AF503" s="5" t="str">
        <f>""</f>
        <v/>
      </c>
      <c r="AG503" s="5" t="str">
        <f>""</f>
        <v/>
      </c>
      <c r="AH503" s="5" t="str">
        <f>""</f>
        <v/>
      </c>
      <c r="AI503" s="5" t="str">
        <f>""</f>
        <v/>
      </c>
      <c r="AJ503" s="5" t="str">
        <f>""</f>
        <v/>
      </c>
      <c r="AK503" s="8" t="str">
        <f>""</f>
        <v/>
      </c>
      <c r="AL503" s="5" t="str">
        <f>"47,00"</f>
        <v>47,00</v>
      </c>
      <c r="AM503" s="5" t="str">
        <f>"2025"</f>
        <v>2025</v>
      </c>
      <c r="AN503" s="5" t="str">
        <f t="shared" si="755"/>
        <v>нет</v>
      </c>
      <c r="AO503" s="5" t="str">
        <f>""</f>
        <v/>
      </c>
      <c r="AP503" s="5" t="str">
        <f>""</f>
        <v/>
      </c>
      <c r="AQ503" s="5" t="str">
        <f>""</f>
        <v/>
      </c>
      <c r="AR503" s="5" t="str">
        <f t="shared" si="756"/>
        <v>нет</v>
      </c>
      <c r="AS503" s="5" t="str">
        <f>""</f>
        <v/>
      </c>
      <c r="AT503" s="5" t="str">
        <f>""</f>
        <v/>
      </c>
      <c r="AU503" s="5" t="str">
        <f>""</f>
        <v/>
      </c>
      <c r="AV503" s="5" t="str">
        <f t="shared" si="758"/>
        <v>х</v>
      </c>
      <c r="AW503" s="5" t="str">
        <f t="shared" si="758"/>
        <v>х</v>
      </c>
      <c r="AX503" s="5" t="str">
        <f t="shared" si="758"/>
        <v>х</v>
      </c>
      <c r="AY503" s="5" t="str">
        <f t="shared" si="758"/>
        <v>х</v>
      </c>
      <c r="AZ503" s="5" t="str">
        <f t="shared" si="758"/>
        <v>х</v>
      </c>
      <c r="BA503" s="5" t="str">
        <f t="shared" si="758"/>
        <v>х</v>
      </c>
      <c r="BB503" s="5" t="str">
        <f t="shared" si="758"/>
        <v>х</v>
      </c>
      <c r="BC503" s="5" t="str">
        <f t="shared" si="758"/>
        <v>х</v>
      </c>
      <c r="BD503" s="5" t="str">
        <f t="shared" si="758"/>
        <v>х</v>
      </c>
      <c r="BE503" s="5" t="str">
        <f t="shared" si="758"/>
        <v>х</v>
      </c>
      <c r="BF503" s="5" t="str">
        <f t="shared" si="758"/>
        <v>х</v>
      </c>
      <c r="BG503" s="5" t="str">
        <f>""</f>
        <v/>
      </c>
      <c r="BH503" s="5" t="str">
        <f>""</f>
        <v/>
      </c>
      <c r="BI503" s="5" t="str">
        <f>""</f>
        <v/>
      </c>
      <c r="BJ503" s="5" t="str">
        <f>""</f>
        <v/>
      </c>
      <c r="BK503" s="5" t="str">
        <f>""</f>
        <v/>
      </c>
      <c r="BL503" s="5" t="str">
        <f>""</f>
        <v/>
      </c>
      <c r="BM503" s="5" t="str">
        <f>""</f>
        <v/>
      </c>
      <c r="BN503" s="5" t="str">
        <f>""</f>
        <v/>
      </c>
      <c r="BO503" s="5" t="str">
        <f>""</f>
        <v/>
      </c>
      <c r="BP503" s="5" t="str">
        <f>""</f>
        <v/>
      </c>
      <c r="BQ503" s="5" t="str">
        <f>""</f>
        <v/>
      </c>
      <c r="BR503" s="5" t="str">
        <f>"2008"</f>
        <v>2008</v>
      </c>
      <c r="BS503" s="5" t="str">
        <f>"47,00"</f>
        <v>47,00</v>
      </c>
      <c r="BT503" s="5" t="str">
        <f t="shared" ref="BT503:BT509" si="759">"2017"</f>
        <v>2017</v>
      </c>
      <c r="BU503" s="5" t="str">
        <f t="shared" si="752"/>
        <v>нет</v>
      </c>
      <c r="BV503" s="5" t="str">
        <f t="shared" si="757"/>
        <v>x</v>
      </c>
      <c r="BW503" s="5" t="str">
        <f t="shared" si="757"/>
        <v>x</v>
      </c>
      <c r="BX503" s="5" t="str">
        <f t="shared" si="757"/>
        <v>x</v>
      </c>
      <c r="BY503" s="5" t="str">
        <f t="shared" si="750"/>
        <v>нет</v>
      </c>
      <c r="BZ503" s="5" t="str">
        <f t="shared" si="751"/>
        <v>x</v>
      </c>
      <c r="CA503" s="5" t="str">
        <f t="shared" si="751"/>
        <v>x</v>
      </c>
      <c r="CB503" s="5" t="str">
        <f t="shared" si="751"/>
        <v>x</v>
      </c>
      <c r="CC503" s="5" t="str">
        <f>""</f>
        <v/>
      </c>
      <c r="CD503" s="5" t="str">
        <f>"47,00"</f>
        <v>47,00</v>
      </c>
      <c r="CE503" s="5" t="str">
        <f>"2025"</f>
        <v>2025</v>
      </c>
      <c r="CF503" s="5" t="str">
        <f>""</f>
        <v/>
      </c>
      <c r="CG503" s="5" t="str">
        <f>"47,00"</f>
        <v>47,00</v>
      </c>
      <c r="CH503" s="5" t="str">
        <f>"2025"</f>
        <v>2025</v>
      </c>
      <c r="CI503" s="5" t="str">
        <f>"47,00"</f>
        <v>47,00</v>
      </c>
      <c r="CJ503" s="5" t="str">
        <f>"2025"</f>
        <v>2025</v>
      </c>
    </row>
    <row r="504" spans="1:88" ht="11.25" customHeight="1">
      <c r="A504" s="3" t="str">
        <f>"1.491"</f>
        <v>1.491</v>
      </c>
      <c r="B504" s="4" t="str">
        <f>"пгт. Вохтога, ул. Заводская, д.10"</f>
        <v>пгт. Вохтога, ул. Заводская, д.10</v>
      </c>
      <c r="C504" s="7" t="str">
        <f>"1990"</f>
        <v>1990</v>
      </c>
      <c r="D504" s="5" t="str">
        <f>""</f>
        <v/>
      </c>
      <c r="E504" s="5" t="str">
        <f>"36,00"</f>
        <v>36,00</v>
      </c>
      <c r="F504" s="5" t="str">
        <f>"2021"</f>
        <v>2021</v>
      </c>
      <c r="G504" s="5" t="str">
        <f t="shared" si="747"/>
        <v>нет</v>
      </c>
      <c r="H504" s="5" t="str">
        <f>""</f>
        <v/>
      </c>
      <c r="I504" s="5" t="str">
        <f>""</f>
        <v/>
      </c>
      <c r="J504" s="5" t="str">
        <f>""</f>
        <v/>
      </c>
      <c r="K504" s="5" t="str">
        <f t="shared" si="748"/>
        <v>нет</v>
      </c>
      <c r="L504" s="5" t="str">
        <f>""</f>
        <v/>
      </c>
      <c r="M504" s="5" t="str">
        <f>""</f>
        <v/>
      </c>
      <c r="N504" s="5" t="str">
        <f>""</f>
        <v/>
      </c>
      <c r="O504" s="8" t="str">
        <f>""</f>
        <v/>
      </c>
      <c r="P504" s="5" t="str">
        <f>""</f>
        <v/>
      </c>
      <c r="Q504" s="5" t="str">
        <f>""</f>
        <v/>
      </c>
      <c r="R504" s="5" t="str">
        <f>""</f>
        <v/>
      </c>
      <c r="S504" s="5" t="str">
        <f>""</f>
        <v/>
      </c>
      <c r="T504" s="5" t="str">
        <f>""</f>
        <v/>
      </c>
      <c r="U504" s="5" t="str">
        <f>""</f>
        <v/>
      </c>
      <c r="V504" s="5" t="str">
        <f>""</f>
        <v/>
      </c>
      <c r="W504" s="5" t="str">
        <f>""</f>
        <v/>
      </c>
      <c r="X504" s="5" t="str">
        <f>""</f>
        <v/>
      </c>
      <c r="Y504" s="9" t="str">
        <f>""</f>
        <v/>
      </c>
      <c r="Z504" s="5" t="str">
        <f>""</f>
        <v/>
      </c>
      <c r="AA504" s="5" t="str">
        <f>""</f>
        <v/>
      </c>
      <c r="AB504" s="5" t="str">
        <f>""</f>
        <v/>
      </c>
      <c r="AC504" s="5" t="str">
        <f>""</f>
        <v/>
      </c>
      <c r="AD504" s="5" t="str">
        <f>""</f>
        <v/>
      </c>
      <c r="AE504" s="5" t="str">
        <f>""</f>
        <v/>
      </c>
      <c r="AF504" s="5" t="str">
        <f>""</f>
        <v/>
      </c>
      <c r="AG504" s="5" t="str">
        <f>""</f>
        <v/>
      </c>
      <c r="AH504" s="5" t="str">
        <f>""</f>
        <v/>
      </c>
      <c r="AI504" s="5" t="str">
        <f>""</f>
        <v/>
      </c>
      <c r="AJ504" s="5" t="str">
        <f>""</f>
        <v/>
      </c>
      <c r="AK504" s="8" t="str">
        <f>""</f>
        <v/>
      </c>
      <c r="AL504" s="5" t="str">
        <f>"36,00"</f>
        <v>36,00</v>
      </c>
      <c r="AM504" s="5" t="str">
        <f>"2021"</f>
        <v>2021</v>
      </c>
      <c r="AN504" s="5" t="str">
        <f t="shared" si="755"/>
        <v>нет</v>
      </c>
      <c r="AO504" s="5" t="str">
        <f>""</f>
        <v/>
      </c>
      <c r="AP504" s="5" t="str">
        <f>""</f>
        <v/>
      </c>
      <c r="AQ504" s="5" t="str">
        <f>""</f>
        <v/>
      </c>
      <c r="AR504" s="5" t="str">
        <f t="shared" si="756"/>
        <v>нет</v>
      </c>
      <c r="AS504" s="5" t="str">
        <f>""</f>
        <v/>
      </c>
      <c r="AT504" s="5" t="str">
        <f>""</f>
        <v/>
      </c>
      <c r="AU504" s="5" t="str">
        <f>""</f>
        <v/>
      </c>
      <c r="AV504" s="5" t="str">
        <f t="shared" si="758"/>
        <v>х</v>
      </c>
      <c r="AW504" s="5" t="str">
        <f t="shared" si="758"/>
        <v>х</v>
      </c>
      <c r="AX504" s="5" t="str">
        <f t="shared" si="758"/>
        <v>х</v>
      </c>
      <c r="AY504" s="5" t="str">
        <f t="shared" si="758"/>
        <v>х</v>
      </c>
      <c r="AZ504" s="5" t="str">
        <f t="shared" si="758"/>
        <v>х</v>
      </c>
      <c r="BA504" s="5" t="str">
        <f t="shared" si="758"/>
        <v>х</v>
      </c>
      <c r="BB504" s="5" t="str">
        <f t="shared" si="758"/>
        <v>х</v>
      </c>
      <c r="BC504" s="5" t="str">
        <f t="shared" si="758"/>
        <v>х</v>
      </c>
      <c r="BD504" s="5" t="str">
        <f t="shared" si="758"/>
        <v>х</v>
      </c>
      <c r="BE504" s="5" t="str">
        <f t="shared" si="758"/>
        <v>х</v>
      </c>
      <c r="BF504" s="5" t="str">
        <f t="shared" si="758"/>
        <v>х</v>
      </c>
      <c r="BG504" s="5" t="str">
        <f>""</f>
        <v/>
      </c>
      <c r="BH504" s="5" t="str">
        <f>""</f>
        <v/>
      </c>
      <c r="BI504" s="5" t="str">
        <f>""</f>
        <v/>
      </c>
      <c r="BJ504" s="5" t="str">
        <f>""</f>
        <v/>
      </c>
      <c r="BK504" s="5" t="str">
        <f>""</f>
        <v/>
      </c>
      <c r="BL504" s="5" t="str">
        <f>""</f>
        <v/>
      </c>
      <c r="BM504" s="5" t="str">
        <f>""</f>
        <v/>
      </c>
      <c r="BN504" s="5" t="str">
        <f>""</f>
        <v/>
      </c>
      <c r="BO504" s="5" t="str">
        <f>""</f>
        <v/>
      </c>
      <c r="BP504" s="5" t="str">
        <f>""</f>
        <v/>
      </c>
      <c r="BQ504" s="5" t="str">
        <f>""</f>
        <v/>
      </c>
      <c r="BR504" s="5" t="str">
        <f>"2008"</f>
        <v>2008</v>
      </c>
      <c r="BS504" s="5" t="str">
        <f>"36,00"</f>
        <v>36,00</v>
      </c>
      <c r="BT504" s="5" t="str">
        <f t="shared" si="759"/>
        <v>2017</v>
      </c>
      <c r="BU504" s="5" t="str">
        <f t="shared" si="752"/>
        <v>нет</v>
      </c>
      <c r="BV504" s="5" t="str">
        <f t="shared" si="757"/>
        <v>x</v>
      </c>
      <c r="BW504" s="5" t="str">
        <f t="shared" si="757"/>
        <v>x</v>
      </c>
      <c r="BX504" s="5" t="str">
        <f t="shared" si="757"/>
        <v>x</v>
      </c>
      <c r="BY504" s="5" t="str">
        <f t="shared" si="750"/>
        <v>нет</v>
      </c>
      <c r="BZ504" s="5" t="str">
        <f t="shared" si="751"/>
        <v>x</v>
      </c>
      <c r="CA504" s="5" t="str">
        <f t="shared" si="751"/>
        <v>x</v>
      </c>
      <c r="CB504" s="5" t="str">
        <f t="shared" si="751"/>
        <v>x</v>
      </c>
      <c r="CC504" s="5" t="str">
        <f>""</f>
        <v/>
      </c>
      <c r="CD504" s="5" t="str">
        <f>"36,00"</f>
        <v>36,00</v>
      </c>
      <c r="CE504" s="5" t="str">
        <f>"2021"</f>
        <v>2021</v>
      </c>
      <c r="CF504" s="5" t="str">
        <f>""</f>
        <v/>
      </c>
      <c r="CG504" s="5" t="str">
        <f>"36,00"</f>
        <v>36,00</v>
      </c>
      <c r="CH504" s="5" t="str">
        <f>"2021"</f>
        <v>2021</v>
      </c>
      <c r="CI504" s="5" t="str">
        <f>"36,00"</f>
        <v>36,00</v>
      </c>
      <c r="CJ504" s="5" t="str">
        <f>"2021"</f>
        <v>2021</v>
      </c>
    </row>
    <row r="505" spans="1:88" ht="11.25" customHeight="1">
      <c r="A505" s="3" t="str">
        <f>"1.492"</f>
        <v>1.492</v>
      </c>
      <c r="B505" s="4" t="str">
        <f>"пгт. Вохтога, ул. Заводская, д.14"</f>
        <v>пгт. Вохтога, ул. Заводская, д.14</v>
      </c>
      <c r="C505" s="7" t="str">
        <f>"1958"</f>
        <v>1958</v>
      </c>
      <c r="D505" s="5" t="str">
        <f>""</f>
        <v/>
      </c>
      <c r="E505" s="5" t="str">
        <f>"63,00"</f>
        <v>63,00</v>
      </c>
      <c r="F505" s="5" t="str">
        <f>"2020"</f>
        <v>2020</v>
      </c>
      <c r="G505" s="5" t="str">
        <f t="shared" si="747"/>
        <v>нет</v>
      </c>
      <c r="H505" s="5" t="str">
        <f>""</f>
        <v/>
      </c>
      <c r="I505" s="5" t="str">
        <f>""</f>
        <v/>
      </c>
      <c r="J505" s="5" t="str">
        <f>""</f>
        <v/>
      </c>
      <c r="K505" s="5" t="str">
        <f t="shared" si="748"/>
        <v>нет</v>
      </c>
      <c r="L505" s="5" t="str">
        <f>""</f>
        <v/>
      </c>
      <c r="M505" s="5" t="str">
        <f>""</f>
        <v/>
      </c>
      <c r="N505" s="5" t="str">
        <f>""</f>
        <v/>
      </c>
      <c r="O505" s="8" t="str">
        <f>""</f>
        <v/>
      </c>
      <c r="P505" s="5" t="str">
        <f>""</f>
        <v/>
      </c>
      <c r="Q505" s="5" t="str">
        <f>""</f>
        <v/>
      </c>
      <c r="R505" s="5" t="str">
        <f>""</f>
        <v/>
      </c>
      <c r="S505" s="5" t="str">
        <f>""</f>
        <v/>
      </c>
      <c r="T505" s="5" t="str">
        <f>""</f>
        <v/>
      </c>
      <c r="U505" s="5" t="str">
        <f>""</f>
        <v/>
      </c>
      <c r="V505" s="5" t="str">
        <f>""</f>
        <v/>
      </c>
      <c r="W505" s="5" t="str">
        <f>""</f>
        <v/>
      </c>
      <c r="X505" s="5" t="str">
        <f>""</f>
        <v/>
      </c>
      <c r="Y505" s="9" t="str">
        <f>""</f>
        <v/>
      </c>
      <c r="Z505" s="5" t="str">
        <f>""</f>
        <v/>
      </c>
      <c r="AA505" s="5" t="str">
        <f>""</f>
        <v/>
      </c>
      <c r="AB505" s="5" t="str">
        <f>""</f>
        <v/>
      </c>
      <c r="AC505" s="5" t="str">
        <f>""</f>
        <v/>
      </c>
      <c r="AD505" s="5" t="str">
        <f>""</f>
        <v/>
      </c>
      <c r="AE505" s="5" t="str">
        <f>""</f>
        <v/>
      </c>
      <c r="AF505" s="5" t="str">
        <f>""</f>
        <v/>
      </c>
      <c r="AG505" s="5" t="str">
        <f>""</f>
        <v/>
      </c>
      <c r="AH505" s="5" t="str">
        <f>""</f>
        <v/>
      </c>
      <c r="AI505" s="5" t="str">
        <f>""</f>
        <v/>
      </c>
      <c r="AJ505" s="5" t="str">
        <f>""</f>
        <v/>
      </c>
      <c r="AK505" s="8" t="str">
        <f>""</f>
        <v/>
      </c>
      <c r="AL505" s="5" t="str">
        <f>"63,00"</f>
        <v>63,00</v>
      </c>
      <c r="AM505" s="5" t="str">
        <f>"2020"</f>
        <v>2020</v>
      </c>
      <c r="AN505" s="5" t="str">
        <f t="shared" si="755"/>
        <v>нет</v>
      </c>
      <c r="AO505" s="5" t="str">
        <f>""</f>
        <v/>
      </c>
      <c r="AP505" s="5" t="str">
        <f>""</f>
        <v/>
      </c>
      <c r="AQ505" s="5" t="str">
        <f>""</f>
        <v/>
      </c>
      <c r="AR505" s="5" t="str">
        <f t="shared" si="756"/>
        <v>нет</v>
      </c>
      <c r="AS505" s="5" t="str">
        <f>""</f>
        <v/>
      </c>
      <c r="AT505" s="5" t="str">
        <f>""</f>
        <v/>
      </c>
      <c r="AU505" s="5" t="str">
        <f>""</f>
        <v/>
      </c>
      <c r="AV505" s="5" t="str">
        <f t="shared" si="758"/>
        <v>х</v>
      </c>
      <c r="AW505" s="5" t="str">
        <f t="shared" si="758"/>
        <v>х</v>
      </c>
      <c r="AX505" s="5" t="str">
        <f t="shared" si="758"/>
        <v>х</v>
      </c>
      <c r="AY505" s="5" t="str">
        <f t="shared" si="758"/>
        <v>х</v>
      </c>
      <c r="AZ505" s="5" t="str">
        <f t="shared" si="758"/>
        <v>х</v>
      </c>
      <c r="BA505" s="5" t="str">
        <f t="shared" si="758"/>
        <v>х</v>
      </c>
      <c r="BB505" s="5" t="str">
        <f t="shared" si="758"/>
        <v>х</v>
      </c>
      <c r="BC505" s="5" t="str">
        <f t="shared" si="758"/>
        <v>х</v>
      </c>
      <c r="BD505" s="5" t="str">
        <f t="shared" si="758"/>
        <v>х</v>
      </c>
      <c r="BE505" s="5" t="str">
        <f t="shared" si="758"/>
        <v>х</v>
      </c>
      <c r="BF505" s="5" t="str">
        <f t="shared" si="758"/>
        <v>х</v>
      </c>
      <c r="BG505" s="5" t="str">
        <f>""</f>
        <v/>
      </c>
      <c r="BH505" s="5" t="str">
        <f>""</f>
        <v/>
      </c>
      <c r="BI505" s="5" t="str">
        <f>""</f>
        <v/>
      </c>
      <c r="BJ505" s="5" t="str">
        <f>""</f>
        <v/>
      </c>
      <c r="BK505" s="5" t="str">
        <f>""</f>
        <v/>
      </c>
      <c r="BL505" s="5" t="str">
        <f>""</f>
        <v/>
      </c>
      <c r="BM505" s="5" t="str">
        <f>""</f>
        <v/>
      </c>
      <c r="BN505" s="5" t="str">
        <f>""</f>
        <v/>
      </c>
      <c r="BO505" s="5" t="str">
        <f>""</f>
        <v/>
      </c>
      <c r="BP505" s="5" t="str">
        <f>""</f>
        <v/>
      </c>
      <c r="BQ505" s="5" t="str">
        <f>""</f>
        <v/>
      </c>
      <c r="BR505" s="5" t="str">
        <f>""</f>
        <v/>
      </c>
      <c r="BS505" s="5" t="str">
        <f>"63,00"</f>
        <v>63,00</v>
      </c>
      <c r="BT505" s="5" t="str">
        <f t="shared" si="759"/>
        <v>2017</v>
      </c>
      <c r="BU505" s="5" t="str">
        <f t="shared" si="752"/>
        <v>нет</v>
      </c>
      <c r="BV505" s="5" t="str">
        <f t="shared" si="757"/>
        <v>x</v>
      </c>
      <c r="BW505" s="5" t="str">
        <f t="shared" si="757"/>
        <v>x</v>
      </c>
      <c r="BX505" s="5" t="str">
        <f t="shared" si="757"/>
        <v>x</v>
      </c>
      <c r="BY505" s="5" t="str">
        <f t="shared" si="750"/>
        <v>нет</v>
      </c>
      <c r="BZ505" s="5" t="str">
        <f t="shared" si="751"/>
        <v>x</v>
      </c>
      <c r="CA505" s="5" t="str">
        <f t="shared" si="751"/>
        <v>x</v>
      </c>
      <c r="CB505" s="5" t="str">
        <f t="shared" si="751"/>
        <v>x</v>
      </c>
      <c r="CC505" s="5" t="str">
        <f>""</f>
        <v/>
      </c>
      <c r="CD505" s="5" t="str">
        <f>"63,00"</f>
        <v>63,00</v>
      </c>
      <c r="CE505" s="5" t="str">
        <f>"2020"</f>
        <v>2020</v>
      </c>
      <c r="CF505" s="5" t="str">
        <f>""</f>
        <v/>
      </c>
      <c r="CG505" s="5" t="str">
        <f>"63,00"</f>
        <v>63,00</v>
      </c>
      <c r="CH505" s="5" t="str">
        <f>"2020"</f>
        <v>2020</v>
      </c>
      <c r="CI505" s="5" t="str">
        <f>"63,00"</f>
        <v>63,00</v>
      </c>
      <c r="CJ505" s="5" t="str">
        <f>"2020"</f>
        <v>2020</v>
      </c>
    </row>
    <row r="506" spans="1:88" ht="11.25" customHeight="1">
      <c r="A506" s="3" t="str">
        <f>"1.493"</f>
        <v>1.493</v>
      </c>
      <c r="B506" s="4" t="str">
        <f>"пгт. Вохтога, ул. Заводская, д.3"</f>
        <v>пгт. Вохтога, ул. Заводская, д.3</v>
      </c>
      <c r="C506" s="7" t="str">
        <f>"1957"</f>
        <v>1957</v>
      </c>
      <c r="D506" s="5" t="str">
        <f>""</f>
        <v/>
      </c>
      <c r="E506" s="5" t="str">
        <f>"55,00"</f>
        <v>55,00</v>
      </c>
      <c r="F506" s="5" t="str">
        <f>"2021"</f>
        <v>2021</v>
      </c>
      <c r="G506" s="5" t="str">
        <f t="shared" si="747"/>
        <v>нет</v>
      </c>
      <c r="H506" s="5" t="str">
        <f>""</f>
        <v/>
      </c>
      <c r="I506" s="5" t="str">
        <f>""</f>
        <v/>
      </c>
      <c r="J506" s="5" t="str">
        <f>""</f>
        <v/>
      </c>
      <c r="K506" s="5" t="str">
        <f t="shared" si="748"/>
        <v>нет</v>
      </c>
      <c r="L506" s="5" t="str">
        <f>""</f>
        <v/>
      </c>
      <c r="M506" s="5" t="str">
        <f>""</f>
        <v/>
      </c>
      <c r="N506" s="5" t="str">
        <f>""</f>
        <v/>
      </c>
      <c r="O506" s="8" t="str">
        <f>""</f>
        <v/>
      </c>
      <c r="P506" s="5" t="str">
        <f>""</f>
        <v/>
      </c>
      <c r="Q506" s="5" t="str">
        <f>""</f>
        <v/>
      </c>
      <c r="R506" s="5" t="str">
        <f>""</f>
        <v/>
      </c>
      <c r="S506" s="5" t="str">
        <f>""</f>
        <v/>
      </c>
      <c r="T506" s="5" t="str">
        <f>""</f>
        <v/>
      </c>
      <c r="U506" s="5" t="str">
        <f>""</f>
        <v/>
      </c>
      <c r="V506" s="5" t="str">
        <f>""</f>
        <v/>
      </c>
      <c r="W506" s="5" t="str">
        <f>""</f>
        <v/>
      </c>
      <c r="X506" s="5" t="str">
        <f>""</f>
        <v/>
      </c>
      <c r="Y506" s="9" t="str">
        <f>""</f>
        <v/>
      </c>
      <c r="Z506" s="5" t="str">
        <f>""</f>
        <v/>
      </c>
      <c r="AA506" s="5" t="str">
        <f>""</f>
        <v/>
      </c>
      <c r="AB506" s="5" t="str">
        <f>""</f>
        <v/>
      </c>
      <c r="AC506" s="5" t="str">
        <f>""</f>
        <v/>
      </c>
      <c r="AD506" s="5" t="str">
        <f>""</f>
        <v/>
      </c>
      <c r="AE506" s="5" t="str">
        <f>""</f>
        <v/>
      </c>
      <c r="AF506" s="5" t="str">
        <f>""</f>
        <v/>
      </c>
      <c r="AG506" s="5" t="str">
        <f>""</f>
        <v/>
      </c>
      <c r="AH506" s="5" t="str">
        <f>""</f>
        <v/>
      </c>
      <c r="AI506" s="5" t="str">
        <f>""</f>
        <v/>
      </c>
      <c r="AJ506" s="5" t="str">
        <f>""</f>
        <v/>
      </c>
      <c r="AK506" s="8" t="str">
        <f>""</f>
        <v/>
      </c>
      <c r="AL506" s="5" t="str">
        <f>"55,00"</f>
        <v>55,00</v>
      </c>
      <c r="AM506" s="5" t="str">
        <f>"2021"</f>
        <v>2021</v>
      </c>
      <c r="AN506" s="5" t="str">
        <f t="shared" si="755"/>
        <v>нет</v>
      </c>
      <c r="AO506" s="5" t="str">
        <f>""</f>
        <v/>
      </c>
      <c r="AP506" s="5" t="str">
        <f>""</f>
        <v/>
      </c>
      <c r="AQ506" s="5" t="str">
        <f>""</f>
        <v/>
      </c>
      <c r="AR506" s="5" t="str">
        <f t="shared" si="756"/>
        <v>нет</v>
      </c>
      <c r="AS506" s="5" t="str">
        <f>""</f>
        <v/>
      </c>
      <c r="AT506" s="5" t="str">
        <f>""</f>
        <v/>
      </c>
      <c r="AU506" s="5" t="str">
        <f>""</f>
        <v/>
      </c>
      <c r="AV506" s="5" t="str">
        <f t="shared" si="758"/>
        <v>х</v>
      </c>
      <c r="AW506" s="5" t="str">
        <f t="shared" si="758"/>
        <v>х</v>
      </c>
      <c r="AX506" s="5" t="str">
        <f t="shared" si="758"/>
        <v>х</v>
      </c>
      <c r="AY506" s="5" t="str">
        <f t="shared" si="758"/>
        <v>х</v>
      </c>
      <c r="AZ506" s="5" t="str">
        <f t="shared" si="758"/>
        <v>х</v>
      </c>
      <c r="BA506" s="5" t="str">
        <f t="shared" si="758"/>
        <v>х</v>
      </c>
      <c r="BB506" s="5" t="str">
        <f t="shared" si="758"/>
        <v>х</v>
      </c>
      <c r="BC506" s="5" t="str">
        <f t="shared" si="758"/>
        <v>х</v>
      </c>
      <c r="BD506" s="5" t="str">
        <f t="shared" si="758"/>
        <v>х</v>
      </c>
      <c r="BE506" s="5" t="str">
        <f t="shared" si="758"/>
        <v>х</v>
      </c>
      <c r="BF506" s="5" t="str">
        <f t="shared" si="758"/>
        <v>х</v>
      </c>
      <c r="BG506" s="5" t="str">
        <f>""</f>
        <v/>
      </c>
      <c r="BH506" s="5" t="str">
        <f>""</f>
        <v/>
      </c>
      <c r="BI506" s="5" t="str">
        <f>""</f>
        <v/>
      </c>
      <c r="BJ506" s="5" t="str">
        <f>""</f>
        <v/>
      </c>
      <c r="BK506" s="5" t="str">
        <f>""</f>
        <v/>
      </c>
      <c r="BL506" s="5" t="str">
        <f>""</f>
        <v/>
      </c>
      <c r="BM506" s="5" t="str">
        <f>""</f>
        <v/>
      </c>
      <c r="BN506" s="5" t="str">
        <f>""</f>
        <v/>
      </c>
      <c r="BO506" s="5" t="str">
        <f>""</f>
        <v/>
      </c>
      <c r="BP506" s="5" t="str">
        <f>""</f>
        <v/>
      </c>
      <c r="BQ506" s="5" t="str">
        <f>""</f>
        <v/>
      </c>
      <c r="BR506" s="5" t="str">
        <f>""</f>
        <v/>
      </c>
      <c r="BS506" s="5" t="str">
        <f>"55,00"</f>
        <v>55,00</v>
      </c>
      <c r="BT506" s="5" t="str">
        <f t="shared" si="759"/>
        <v>2017</v>
      </c>
      <c r="BU506" s="5" t="str">
        <f t="shared" si="752"/>
        <v>нет</v>
      </c>
      <c r="BV506" s="5" t="str">
        <f t="shared" si="757"/>
        <v>x</v>
      </c>
      <c r="BW506" s="5" t="str">
        <f t="shared" si="757"/>
        <v>x</v>
      </c>
      <c r="BX506" s="5" t="str">
        <f t="shared" si="757"/>
        <v>x</v>
      </c>
      <c r="BY506" s="5" t="str">
        <f t="shared" si="750"/>
        <v>нет</v>
      </c>
      <c r="BZ506" s="5" t="str">
        <f t="shared" si="751"/>
        <v>x</v>
      </c>
      <c r="CA506" s="5" t="str">
        <f t="shared" si="751"/>
        <v>x</v>
      </c>
      <c r="CB506" s="5" t="str">
        <f t="shared" si="751"/>
        <v>x</v>
      </c>
      <c r="CC506" s="5" t="str">
        <f>""</f>
        <v/>
      </c>
      <c r="CD506" s="5" t="str">
        <f>"55,00"</f>
        <v>55,00</v>
      </c>
      <c r="CE506" s="5" t="str">
        <f>"2021"</f>
        <v>2021</v>
      </c>
      <c r="CF506" s="5" t="str">
        <f>""</f>
        <v/>
      </c>
      <c r="CG506" s="5" t="str">
        <f>"55,00"</f>
        <v>55,00</v>
      </c>
      <c r="CH506" s="5" t="str">
        <f>"2021"</f>
        <v>2021</v>
      </c>
      <c r="CI506" s="5" t="str">
        <f>"55,00"</f>
        <v>55,00</v>
      </c>
      <c r="CJ506" s="5" t="str">
        <f>"2021"</f>
        <v>2021</v>
      </c>
    </row>
    <row r="507" spans="1:88" ht="11.25" customHeight="1">
      <c r="A507" s="3" t="str">
        <f>"1.494"</f>
        <v>1.494</v>
      </c>
      <c r="B507" s="4" t="str">
        <f>"пгт. Вохтога, ул. Заводская, д.4"</f>
        <v>пгт. Вохтога, ул. Заводская, д.4</v>
      </c>
      <c r="C507" s="7" t="str">
        <f>"1957"</f>
        <v>1957</v>
      </c>
      <c r="D507" s="5" t="str">
        <f>""</f>
        <v/>
      </c>
      <c r="E507" s="5" t="str">
        <f>"61,00"</f>
        <v>61,00</v>
      </c>
      <c r="F507" s="5" t="str">
        <f>"2019"</f>
        <v>2019</v>
      </c>
      <c r="G507" s="5" t="str">
        <f t="shared" si="747"/>
        <v>нет</v>
      </c>
      <c r="H507" s="5" t="str">
        <f>""</f>
        <v/>
      </c>
      <c r="I507" s="5" t="str">
        <f>""</f>
        <v/>
      </c>
      <c r="J507" s="5" t="str">
        <f>""</f>
        <v/>
      </c>
      <c r="K507" s="5" t="str">
        <f t="shared" si="748"/>
        <v>нет</v>
      </c>
      <c r="L507" s="5" t="str">
        <f>""</f>
        <v/>
      </c>
      <c r="M507" s="5" t="str">
        <f>""</f>
        <v/>
      </c>
      <c r="N507" s="5" t="str">
        <f>""</f>
        <v/>
      </c>
      <c r="O507" s="8" t="str">
        <f>""</f>
        <v/>
      </c>
      <c r="P507" s="5" t="str">
        <f>""</f>
        <v/>
      </c>
      <c r="Q507" s="5" t="str">
        <f>""</f>
        <v/>
      </c>
      <c r="R507" s="5" t="str">
        <f>""</f>
        <v/>
      </c>
      <c r="S507" s="5" t="str">
        <f>""</f>
        <v/>
      </c>
      <c r="T507" s="5" t="str">
        <f>""</f>
        <v/>
      </c>
      <c r="U507" s="5" t="str">
        <f>""</f>
        <v/>
      </c>
      <c r="V507" s="5" t="str">
        <f>""</f>
        <v/>
      </c>
      <c r="W507" s="5" t="str">
        <f>""</f>
        <v/>
      </c>
      <c r="X507" s="5" t="str">
        <f>""</f>
        <v/>
      </c>
      <c r="Y507" s="9" t="str">
        <f>""</f>
        <v/>
      </c>
      <c r="Z507" s="5" t="str">
        <f>""</f>
        <v/>
      </c>
      <c r="AA507" s="5" t="str">
        <f>""</f>
        <v/>
      </c>
      <c r="AB507" s="5" t="str">
        <f>""</f>
        <v/>
      </c>
      <c r="AC507" s="5" t="str">
        <f>""</f>
        <v/>
      </c>
      <c r="AD507" s="5" t="str">
        <f>""</f>
        <v/>
      </c>
      <c r="AE507" s="5" t="str">
        <f>""</f>
        <v/>
      </c>
      <c r="AF507" s="5" t="str">
        <f>""</f>
        <v/>
      </c>
      <c r="AG507" s="5" t="str">
        <f>""</f>
        <v/>
      </c>
      <c r="AH507" s="5" t="str">
        <f>""</f>
        <v/>
      </c>
      <c r="AI507" s="5" t="str">
        <f>""</f>
        <v/>
      </c>
      <c r="AJ507" s="5" t="str">
        <f>""</f>
        <v/>
      </c>
      <c r="AK507" s="8" t="str">
        <f>""</f>
        <v/>
      </c>
      <c r="AL507" s="5" t="str">
        <f>"61,00"</f>
        <v>61,00</v>
      </c>
      <c r="AM507" s="5" t="str">
        <f>"2019"</f>
        <v>2019</v>
      </c>
      <c r="AN507" s="5" t="str">
        <f t="shared" si="755"/>
        <v>нет</v>
      </c>
      <c r="AO507" s="5" t="str">
        <f>""</f>
        <v/>
      </c>
      <c r="AP507" s="5" t="str">
        <f>""</f>
        <v/>
      </c>
      <c r="AQ507" s="5" t="str">
        <f>""</f>
        <v/>
      </c>
      <c r="AR507" s="5" t="str">
        <f t="shared" si="756"/>
        <v>нет</v>
      </c>
      <c r="AS507" s="5" t="str">
        <f>""</f>
        <v/>
      </c>
      <c r="AT507" s="5" t="str">
        <f>""</f>
        <v/>
      </c>
      <c r="AU507" s="5" t="str">
        <f>""</f>
        <v/>
      </c>
      <c r="AV507" s="5" t="str">
        <f t="shared" si="758"/>
        <v>х</v>
      </c>
      <c r="AW507" s="5" t="str">
        <f t="shared" si="758"/>
        <v>х</v>
      </c>
      <c r="AX507" s="5" t="str">
        <f t="shared" si="758"/>
        <v>х</v>
      </c>
      <c r="AY507" s="5" t="str">
        <f t="shared" si="758"/>
        <v>х</v>
      </c>
      <c r="AZ507" s="5" t="str">
        <f t="shared" si="758"/>
        <v>х</v>
      </c>
      <c r="BA507" s="5" t="str">
        <f t="shared" si="758"/>
        <v>х</v>
      </c>
      <c r="BB507" s="5" t="str">
        <f t="shared" si="758"/>
        <v>х</v>
      </c>
      <c r="BC507" s="5" t="str">
        <f t="shared" si="758"/>
        <v>х</v>
      </c>
      <c r="BD507" s="5" t="str">
        <f t="shared" si="758"/>
        <v>х</v>
      </c>
      <c r="BE507" s="5" t="str">
        <f t="shared" si="758"/>
        <v>х</v>
      </c>
      <c r="BF507" s="5" t="str">
        <f t="shared" si="758"/>
        <v>х</v>
      </c>
      <c r="BG507" s="5" t="str">
        <f>""</f>
        <v/>
      </c>
      <c r="BH507" s="5" t="str">
        <f>""</f>
        <v/>
      </c>
      <c r="BI507" s="5" t="str">
        <f>""</f>
        <v/>
      </c>
      <c r="BJ507" s="5" t="str">
        <f>""</f>
        <v/>
      </c>
      <c r="BK507" s="5" t="str">
        <f>""</f>
        <v/>
      </c>
      <c r="BL507" s="5" t="str">
        <f>""</f>
        <v/>
      </c>
      <c r="BM507" s="5" t="str">
        <f>""</f>
        <v/>
      </c>
      <c r="BN507" s="5" t="str">
        <f>""</f>
        <v/>
      </c>
      <c r="BO507" s="5" t="str">
        <f>""</f>
        <v/>
      </c>
      <c r="BP507" s="5" t="str">
        <f>""</f>
        <v/>
      </c>
      <c r="BQ507" s="5" t="str">
        <f>""</f>
        <v/>
      </c>
      <c r="BR507" s="5" t="str">
        <f>""</f>
        <v/>
      </c>
      <c r="BS507" s="5" t="str">
        <f>"61,00"</f>
        <v>61,00</v>
      </c>
      <c r="BT507" s="5" t="str">
        <f t="shared" si="759"/>
        <v>2017</v>
      </c>
      <c r="BU507" s="5" t="str">
        <f t="shared" si="752"/>
        <v>нет</v>
      </c>
      <c r="BV507" s="5" t="str">
        <f t="shared" si="757"/>
        <v>x</v>
      </c>
      <c r="BW507" s="5" t="str">
        <f t="shared" si="757"/>
        <v>x</v>
      </c>
      <c r="BX507" s="5" t="str">
        <f t="shared" si="757"/>
        <v>x</v>
      </c>
      <c r="BY507" s="5" t="str">
        <f t="shared" si="750"/>
        <v>нет</v>
      </c>
      <c r="BZ507" s="5" t="str">
        <f t="shared" si="751"/>
        <v>x</v>
      </c>
      <c r="CA507" s="5" t="str">
        <f t="shared" si="751"/>
        <v>x</v>
      </c>
      <c r="CB507" s="5" t="str">
        <f t="shared" si="751"/>
        <v>x</v>
      </c>
      <c r="CC507" s="5" t="str">
        <f>""</f>
        <v/>
      </c>
      <c r="CD507" s="5" t="str">
        <f>"61,00"</f>
        <v>61,00</v>
      </c>
      <c r="CE507" s="5" t="str">
        <f>"2019"</f>
        <v>2019</v>
      </c>
      <c r="CF507" s="5" t="str">
        <f>""</f>
        <v/>
      </c>
      <c r="CG507" s="5" t="str">
        <f>"61,00"</f>
        <v>61,00</v>
      </c>
      <c r="CH507" s="5" t="str">
        <f>"2019"</f>
        <v>2019</v>
      </c>
      <c r="CI507" s="5" t="str">
        <f>"61,00"</f>
        <v>61,00</v>
      </c>
      <c r="CJ507" s="5" t="str">
        <f>"2019"</f>
        <v>2019</v>
      </c>
    </row>
    <row r="508" spans="1:88" ht="11.25" customHeight="1">
      <c r="A508" s="3" t="str">
        <f>"1.495"</f>
        <v>1.495</v>
      </c>
      <c r="B508" s="4" t="str">
        <f>"пгт. Вохтога, ул. Заводская, д.5"</f>
        <v>пгт. Вохтога, ул. Заводская, д.5</v>
      </c>
      <c r="C508" s="7" t="str">
        <f>"1994"</f>
        <v>1994</v>
      </c>
      <c r="D508" s="5" t="str">
        <f>""</f>
        <v/>
      </c>
      <c r="E508" s="5" t="str">
        <f>"64,00"</f>
        <v>64,00</v>
      </c>
      <c r="F508" s="5" t="str">
        <f>"2019"</f>
        <v>2019</v>
      </c>
      <c r="G508" s="5" t="str">
        <f t="shared" si="747"/>
        <v>нет</v>
      </c>
      <c r="H508" s="5" t="str">
        <f>""</f>
        <v/>
      </c>
      <c r="I508" s="5" t="str">
        <f>""</f>
        <v/>
      </c>
      <c r="J508" s="5" t="str">
        <f>""</f>
        <v/>
      </c>
      <c r="K508" s="5" t="str">
        <f t="shared" si="748"/>
        <v>нет</v>
      </c>
      <c r="L508" s="5" t="str">
        <f>""</f>
        <v/>
      </c>
      <c r="M508" s="5" t="str">
        <f>""</f>
        <v/>
      </c>
      <c r="N508" s="5" t="str">
        <f>""</f>
        <v/>
      </c>
      <c r="O508" s="8" t="str">
        <f>""</f>
        <v/>
      </c>
      <c r="P508" s="5" t="str">
        <f>""</f>
        <v/>
      </c>
      <c r="Q508" s="5" t="str">
        <f>""</f>
        <v/>
      </c>
      <c r="R508" s="5" t="str">
        <f>""</f>
        <v/>
      </c>
      <c r="S508" s="5" t="str">
        <f>""</f>
        <v/>
      </c>
      <c r="T508" s="5" t="str">
        <f>""</f>
        <v/>
      </c>
      <c r="U508" s="5" t="str">
        <f>""</f>
        <v/>
      </c>
      <c r="V508" s="5" t="str">
        <f>""</f>
        <v/>
      </c>
      <c r="W508" s="5" t="str">
        <f>""</f>
        <v/>
      </c>
      <c r="X508" s="5" t="str">
        <f>""</f>
        <v/>
      </c>
      <c r="Y508" s="9" t="str">
        <f>""</f>
        <v/>
      </c>
      <c r="Z508" s="5" t="str">
        <f>""</f>
        <v/>
      </c>
      <c r="AA508" s="5" t="str">
        <f>""</f>
        <v/>
      </c>
      <c r="AB508" s="5" t="str">
        <f>""</f>
        <v/>
      </c>
      <c r="AC508" s="5" t="str">
        <f>""</f>
        <v/>
      </c>
      <c r="AD508" s="5" t="str">
        <f>""</f>
        <v/>
      </c>
      <c r="AE508" s="5" t="str">
        <f>""</f>
        <v/>
      </c>
      <c r="AF508" s="5" t="str">
        <f>""</f>
        <v/>
      </c>
      <c r="AG508" s="5" t="str">
        <f>""</f>
        <v/>
      </c>
      <c r="AH508" s="5" t="str">
        <f>""</f>
        <v/>
      </c>
      <c r="AI508" s="5" t="str">
        <f>""</f>
        <v/>
      </c>
      <c r="AJ508" s="5" t="str">
        <f>""</f>
        <v/>
      </c>
      <c r="AK508" s="8" t="str">
        <f>""</f>
        <v/>
      </c>
      <c r="AL508" s="5" t="str">
        <f>"64,00"</f>
        <v>64,00</v>
      </c>
      <c r="AM508" s="5" t="str">
        <f>"2019"</f>
        <v>2019</v>
      </c>
      <c r="AN508" s="5" t="str">
        <f t="shared" si="755"/>
        <v>нет</v>
      </c>
      <c r="AO508" s="5" t="str">
        <f>""</f>
        <v/>
      </c>
      <c r="AP508" s="5" t="str">
        <f>""</f>
        <v/>
      </c>
      <c r="AQ508" s="5" t="str">
        <f>""</f>
        <v/>
      </c>
      <c r="AR508" s="5" t="str">
        <f t="shared" si="756"/>
        <v>нет</v>
      </c>
      <c r="AS508" s="5" t="str">
        <f>""</f>
        <v/>
      </c>
      <c r="AT508" s="5" t="str">
        <f>""</f>
        <v/>
      </c>
      <c r="AU508" s="5" t="str">
        <f>""</f>
        <v/>
      </c>
      <c r="AV508" s="5" t="str">
        <f t="shared" si="758"/>
        <v>х</v>
      </c>
      <c r="AW508" s="5" t="str">
        <f t="shared" si="758"/>
        <v>х</v>
      </c>
      <c r="AX508" s="5" t="str">
        <f t="shared" si="758"/>
        <v>х</v>
      </c>
      <c r="AY508" s="5" t="str">
        <f t="shared" si="758"/>
        <v>х</v>
      </c>
      <c r="AZ508" s="5" t="str">
        <f t="shared" si="758"/>
        <v>х</v>
      </c>
      <c r="BA508" s="5" t="str">
        <f t="shared" si="758"/>
        <v>х</v>
      </c>
      <c r="BB508" s="5" t="str">
        <f t="shared" si="758"/>
        <v>х</v>
      </c>
      <c r="BC508" s="5" t="str">
        <f t="shared" si="758"/>
        <v>х</v>
      </c>
      <c r="BD508" s="5" t="str">
        <f t="shared" si="758"/>
        <v>х</v>
      </c>
      <c r="BE508" s="5" t="str">
        <f t="shared" si="758"/>
        <v>х</v>
      </c>
      <c r="BF508" s="5" t="str">
        <f t="shared" si="758"/>
        <v>х</v>
      </c>
      <c r="BG508" s="5" t="str">
        <f>""</f>
        <v/>
      </c>
      <c r="BH508" s="5" t="str">
        <f>""</f>
        <v/>
      </c>
      <c r="BI508" s="5" t="str">
        <f>""</f>
        <v/>
      </c>
      <c r="BJ508" s="5" t="str">
        <f>""</f>
        <v/>
      </c>
      <c r="BK508" s="5" t="str">
        <f>""</f>
        <v/>
      </c>
      <c r="BL508" s="5" t="str">
        <f>""</f>
        <v/>
      </c>
      <c r="BM508" s="5" t="str">
        <f>""</f>
        <v/>
      </c>
      <c r="BN508" s="5" t="str">
        <f>""</f>
        <v/>
      </c>
      <c r="BO508" s="5" t="str">
        <f>""</f>
        <v/>
      </c>
      <c r="BP508" s="5" t="str">
        <f>""</f>
        <v/>
      </c>
      <c r="BQ508" s="5" t="str">
        <f>""</f>
        <v/>
      </c>
      <c r="BR508" s="5" t="str">
        <f>""</f>
        <v/>
      </c>
      <c r="BS508" s="5" t="str">
        <f>"64,00"</f>
        <v>64,00</v>
      </c>
      <c r="BT508" s="5" t="str">
        <f t="shared" si="759"/>
        <v>2017</v>
      </c>
      <c r="BU508" s="5" t="str">
        <f t="shared" si="752"/>
        <v>нет</v>
      </c>
      <c r="BV508" s="5" t="str">
        <f t="shared" si="757"/>
        <v>x</v>
      </c>
      <c r="BW508" s="5" t="str">
        <f t="shared" si="757"/>
        <v>x</v>
      </c>
      <c r="BX508" s="5" t="str">
        <f t="shared" si="757"/>
        <v>x</v>
      </c>
      <c r="BY508" s="5" t="str">
        <f t="shared" si="750"/>
        <v>нет</v>
      </c>
      <c r="BZ508" s="5" t="str">
        <f t="shared" si="751"/>
        <v>x</v>
      </c>
      <c r="CA508" s="5" t="str">
        <f t="shared" si="751"/>
        <v>x</v>
      </c>
      <c r="CB508" s="5" t="str">
        <f t="shared" si="751"/>
        <v>x</v>
      </c>
      <c r="CC508" s="5" t="str">
        <f>""</f>
        <v/>
      </c>
      <c r="CD508" s="5" t="str">
        <f>"64,00"</f>
        <v>64,00</v>
      </c>
      <c r="CE508" s="5" t="str">
        <f>"2019"</f>
        <v>2019</v>
      </c>
      <c r="CF508" s="5" t="str">
        <f>""</f>
        <v/>
      </c>
      <c r="CG508" s="5" t="str">
        <f>"64,00"</f>
        <v>64,00</v>
      </c>
      <c r="CH508" s="5" t="str">
        <f>"2019"</f>
        <v>2019</v>
      </c>
      <c r="CI508" s="5" t="str">
        <f>"64,00"</f>
        <v>64,00</v>
      </c>
      <c r="CJ508" s="5" t="str">
        <f>"2019"</f>
        <v>2019</v>
      </c>
    </row>
    <row r="509" spans="1:88" ht="11.25" customHeight="1">
      <c r="A509" s="3" t="str">
        <f>"1.496"</f>
        <v>1.496</v>
      </c>
      <c r="B509" s="4" t="str">
        <f>"пгт. Вохтога, ул. Заводская, д.8"</f>
        <v>пгт. Вохтога, ул. Заводская, д.8</v>
      </c>
      <c r="C509" s="7" t="str">
        <f>"1957"</f>
        <v>1957</v>
      </c>
      <c r="D509" s="5" t="str">
        <f>""</f>
        <v/>
      </c>
      <c r="E509" s="5" t="str">
        <f>"8,00"</f>
        <v>8,00</v>
      </c>
      <c r="F509" s="5" t="str">
        <f>"2020"</f>
        <v>2020</v>
      </c>
      <c r="G509" s="5" t="str">
        <f t="shared" si="747"/>
        <v>нет</v>
      </c>
      <c r="H509" s="5" t="str">
        <f>""</f>
        <v/>
      </c>
      <c r="I509" s="5" t="str">
        <f>""</f>
        <v/>
      </c>
      <c r="J509" s="5" t="str">
        <f>""</f>
        <v/>
      </c>
      <c r="K509" s="5" t="str">
        <f t="shared" si="748"/>
        <v>нет</v>
      </c>
      <c r="L509" s="5" t="str">
        <f>""</f>
        <v/>
      </c>
      <c r="M509" s="5" t="str">
        <f>""</f>
        <v/>
      </c>
      <c r="N509" s="5" t="str">
        <f>""</f>
        <v/>
      </c>
      <c r="O509" s="8" t="str">
        <f>""</f>
        <v/>
      </c>
      <c r="P509" s="5" t="str">
        <f>""</f>
        <v/>
      </c>
      <c r="Q509" s="5" t="str">
        <f>""</f>
        <v/>
      </c>
      <c r="R509" s="5" t="str">
        <f>""</f>
        <v/>
      </c>
      <c r="S509" s="5" t="str">
        <f>""</f>
        <v/>
      </c>
      <c r="T509" s="5" t="str">
        <f>""</f>
        <v/>
      </c>
      <c r="U509" s="5" t="str">
        <f>""</f>
        <v/>
      </c>
      <c r="V509" s="5" t="str">
        <f>""</f>
        <v/>
      </c>
      <c r="W509" s="5" t="str">
        <f>""</f>
        <v/>
      </c>
      <c r="X509" s="5" t="str">
        <f>""</f>
        <v/>
      </c>
      <c r="Y509" s="9" t="str">
        <f>""</f>
        <v/>
      </c>
      <c r="Z509" s="5" t="str">
        <f>""</f>
        <v/>
      </c>
      <c r="AA509" s="5" t="str">
        <f>""</f>
        <v/>
      </c>
      <c r="AB509" s="5" t="str">
        <f>""</f>
        <v/>
      </c>
      <c r="AC509" s="5" t="str">
        <f>""</f>
        <v/>
      </c>
      <c r="AD509" s="5" t="str">
        <f>""</f>
        <v/>
      </c>
      <c r="AE509" s="5" t="str">
        <f>""</f>
        <v/>
      </c>
      <c r="AF509" s="5" t="str">
        <f>""</f>
        <v/>
      </c>
      <c r="AG509" s="5" t="str">
        <f>""</f>
        <v/>
      </c>
      <c r="AH509" s="5" t="str">
        <f>""</f>
        <v/>
      </c>
      <c r="AI509" s="5" t="str">
        <f>""</f>
        <v/>
      </c>
      <c r="AJ509" s="5" t="str">
        <f>""</f>
        <v/>
      </c>
      <c r="AK509" s="8" t="str">
        <f>""</f>
        <v/>
      </c>
      <c r="AL509" s="5" t="str">
        <f>"8,00"</f>
        <v>8,00</v>
      </c>
      <c r="AM509" s="5" t="str">
        <f>"2020"</f>
        <v>2020</v>
      </c>
      <c r="AN509" s="5" t="str">
        <f t="shared" si="755"/>
        <v>нет</v>
      </c>
      <c r="AO509" s="5" t="str">
        <f>""</f>
        <v/>
      </c>
      <c r="AP509" s="5" t="str">
        <f>""</f>
        <v/>
      </c>
      <c r="AQ509" s="5" t="str">
        <f>""</f>
        <v/>
      </c>
      <c r="AR509" s="5" t="str">
        <f t="shared" si="756"/>
        <v>нет</v>
      </c>
      <c r="AS509" s="5" t="str">
        <f>""</f>
        <v/>
      </c>
      <c r="AT509" s="5" t="str">
        <f>""</f>
        <v/>
      </c>
      <c r="AU509" s="5" t="str">
        <f>""</f>
        <v/>
      </c>
      <c r="AV509" s="5" t="str">
        <f t="shared" si="758"/>
        <v>х</v>
      </c>
      <c r="AW509" s="5" t="str">
        <f t="shared" si="758"/>
        <v>х</v>
      </c>
      <c r="AX509" s="5" t="str">
        <f t="shared" si="758"/>
        <v>х</v>
      </c>
      <c r="AY509" s="5" t="str">
        <f t="shared" si="758"/>
        <v>х</v>
      </c>
      <c r="AZ509" s="5" t="str">
        <f t="shared" si="758"/>
        <v>х</v>
      </c>
      <c r="BA509" s="5" t="str">
        <f t="shared" si="758"/>
        <v>х</v>
      </c>
      <c r="BB509" s="5" t="str">
        <f t="shared" si="758"/>
        <v>х</v>
      </c>
      <c r="BC509" s="5" t="str">
        <f t="shared" si="758"/>
        <v>х</v>
      </c>
      <c r="BD509" s="5" t="str">
        <f t="shared" si="758"/>
        <v>х</v>
      </c>
      <c r="BE509" s="5" t="str">
        <f t="shared" si="758"/>
        <v>х</v>
      </c>
      <c r="BF509" s="5" t="str">
        <f t="shared" si="758"/>
        <v>х</v>
      </c>
      <c r="BG509" s="5" t="str">
        <f>""</f>
        <v/>
      </c>
      <c r="BH509" s="5" t="str">
        <f>""</f>
        <v/>
      </c>
      <c r="BI509" s="5" t="str">
        <f>""</f>
        <v/>
      </c>
      <c r="BJ509" s="5" t="str">
        <f>""</f>
        <v/>
      </c>
      <c r="BK509" s="5" t="str">
        <f>""</f>
        <v/>
      </c>
      <c r="BL509" s="5" t="str">
        <f>""</f>
        <v/>
      </c>
      <c r="BM509" s="5" t="str">
        <f>""</f>
        <v/>
      </c>
      <c r="BN509" s="5" t="str">
        <f>""</f>
        <v/>
      </c>
      <c r="BO509" s="5" t="str">
        <f>""</f>
        <v/>
      </c>
      <c r="BP509" s="5" t="str">
        <f>""</f>
        <v/>
      </c>
      <c r="BQ509" s="5" t="str">
        <f>""</f>
        <v/>
      </c>
      <c r="BR509" s="5" t="str">
        <f>""</f>
        <v/>
      </c>
      <c r="BS509" s="5" t="str">
        <f>"8,00"</f>
        <v>8,00</v>
      </c>
      <c r="BT509" s="5" t="str">
        <f t="shared" si="759"/>
        <v>2017</v>
      </c>
      <c r="BU509" s="5" t="str">
        <f t="shared" si="752"/>
        <v>нет</v>
      </c>
      <c r="BV509" s="5" t="str">
        <f t="shared" si="757"/>
        <v>x</v>
      </c>
      <c r="BW509" s="5" t="str">
        <f t="shared" si="757"/>
        <v>x</v>
      </c>
      <c r="BX509" s="5" t="str">
        <f t="shared" si="757"/>
        <v>x</v>
      </c>
      <c r="BY509" s="5" t="str">
        <f t="shared" si="750"/>
        <v>нет</v>
      </c>
      <c r="BZ509" s="5" t="str">
        <f t="shared" si="751"/>
        <v>x</v>
      </c>
      <c r="CA509" s="5" t="str">
        <f t="shared" si="751"/>
        <v>x</v>
      </c>
      <c r="CB509" s="5" t="str">
        <f t="shared" si="751"/>
        <v>x</v>
      </c>
      <c r="CC509" s="5" t="str">
        <f>""</f>
        <v/>
      </c>
      <c r="CD509" s="5" t="str">
        <f>"8,00"</f>
        <v>8,00</v>
      </c>
      <c r="CE509" s="5" t="str">
        <f>"2020"</f>
        <v>2020</v>
      </c>
      <c r="CF509" s="5" t="str">
        <f>""</f>
        <v/>
      </c>
      <c r="CG509" s="5" t="str">
        <f>"8,00"</f>
        <v>8,00</v>
      </c>
      <c r="CH509" s="5" t="str">
        <f>"2020"</f>
        <v>2020</v>
      </c>
      <c r="CI509" s="5" t="str">
        <f>"8,00"</f>
        <v>8,00</v>
      </c>
      <c r="CJ509" s="5" t="str">
        <f>"2020"</f>
        <v>2020</v>
      </c>
    </row>
    <row r="510" spans="1:88" ht="11.25" customHeight="1">
      <c r="A510" s="3" t="str">
        <f>"1.497"</f>
        <v>1.497</v>
      </c>
      <c r="B510" s="4" t="str">
        <f>"пгт. Вохтога, ул. Клубная, д.11"</f>
        <v>пгт. Вохтога, ул. Клубная, д.11</v>
      </c>
      <c r="C510" s="7" t="str">
        <f>"1978"</f>
        <v>1978</v>
      </c>
      <c r="D510" s="5" t="str">
        <f>""</f>
        <v/>
      </c>
      <c r="E510" s="5" t="str">
        <f>"25,00"</f>
        <v>25,00</v>
      </c>
      <c r="F510" s="5" t="str">
        <f>"2020"</f>
        <v>2020</v>
      </c>
      <c r="G510" s="5" t="str">
        <f t="shared" si="747"/>
        <v>нет</v>
      </c>
      <c r="H510" s="5" t="str">
        <f>""</f>
        <v/>
      </c>
      <c r="I510" s="5" t="str">
        <f>""</f>
        <v/>
      </c>
      <c r="J510" s="5" t="str">
        <f>""</f>
        <v/>
      </c>
      <c r="K510" s="5" t="str">
        <f t="shared" si="748"/>
        <v>нет</v>
      </c>
      <c r="L510" s="5" t="str">
        <f>""</f>
        <v/>
      </c>
      <c r="M510" s="5" t="str">
        <f>""</f>
        <v/>
      </c>
      <c r="N510" s="5" t="str">
        <f>""</f>
        <v/>
      </c>
      <c r="O510" s="8" t="str">
        <f>""</f>
        <v/>
      </c>
      <c r="P510" s="5" t="str">
        <f>""</f>
        <v/>
      </c>
      <c r="Q510" s="5" t="str">
        <f>""</f>
        <v/>
      </c>
      <c r="R510" s="5" t="str">
        <f>""</f>
        <v/>
      </c>
      <c r="S510" s="5" t="str">
        <f>""</f>
        <v/>
      </c>
      <c r="T510" s="5" t="str">
        <f>""</f>
        <v/>
      </c>
      <c r="U510" s="5" t="str">
        <f>""</f>
        <v/>
      </c>
      <c r="V510" s="5" t="str">
        <f>""</f>
        <v/>
      </c>
      <c r="W510" s="5" t="str">
        <f>""</f>
        <v/>
      </c>
      <c r="X510" s="5" t="str">
        <f>""</f>
        <v/>
      </c>
      <c r="Y510" s="9" t="str">
        <f>""</f>
        <v/>
      </c>
      <c r="Z510" s="5" t="str">
        <f>""</f>
        <v/>
      </c>
      <c r="AA510" s="5" t="str">
        <f>""</f>
        <v/>
      </c>
      <c r="AB510" s="5" t="str">
        <f>""</f>
        <v/>
      </c>
      <c r="AC510" s="5" t="str">
        <f>""</f>
        <v/>
      </c>
      <c r="AD510" s="5" t="str">
        <f>""</f>
        <v/>
      </c>
      <c r="AE510" s="5" t="str">
        <f>""</f>
        <v/>
      </c>
      <c r="AF510" s="5" t="str">
        <f>""</f>
        <v/>
      </c>
      <c r="AG510" s="5" t="str">
        <f>""</f>
        <v/>
      </c>
      <c r="AH510" s="5" t="str">
        <f>""</f>
        <v/>
      </c>
      <c r="AI510" s="5" t="str">
        <f>""</f>
        <v/>
      </c>
      <c r="AJ510" s="5" t="str">
        <f>""</f>
        <v/>
      </c>
      <c r="AK510" s="8" t="str">
        <f>""</f>
        <v/>
      </c>
      <c r="AL510" s="5" t="str">
        <f>"10,00"</f>
        <v>10,00</v>
      </c>
      <c r="AM510" s="5" t="str">
        <f>"2036"</f>
        <v>2036</v>
      </c>
      <c r="AN510" s="5" t="str">
        <f t="shared" si="755"/>
        <v>нет</v>
      </c>
      <c r="AO510" s="5" t="str">
        <f>""</f>
        <v/>
      </c>
      <c r="AP510" s="5" t="str">
        <f>""</f>
        <v/>
      </c>
      <c r="AQ510" s="5" t="str">
        <f>""</f>
        <v/>
      </c>
      <c r="AR510" s="5" t="str">
        <f t="shared" si="756"/>
        <v>нет</v>
      </c>
      <c r="AS510" s="5" t="str">
        <f>""</f>
        <v/>
      </c>
      <c r="AT510" s="5" t="str">
        <f>""</f>
        <v/>
      </c>
      <c r="AU510" s="5" t="str">
        <f>""</f>
        <v/>
      </c>
      <c r="AV510" s="5" t="str">
        <f t="shared" si="758"/>
        <v>х</v>
      </c>
      <c r="AW510" s="5" t="str">
        <f t="shared" si="758"/>
        <v>х</v>
      </c>
      <c r="AX510" s="5" t="str">
        <f t="shared" si="758"/>
        <v>х</v>
      </c>
      <c r="AY510" s="5" t="str">
        <f t="shared" si="758"/>
        <v>х</v>
      </c>
      <c r="AZ510" s="5" t="str">
        <f t="shared" si="758"/>
        <v>х</v>
      </c>
      <c r="BA510" s="5" t="str">
        <f t="shared" si="758"/>
        <v>х</v>
      </c>
      <c r="BB510" s="5" t="str">
        <f t="shared" si="758"/>
        <v>х</v>
      </c>
      <c r="BC510" s="5" t="str">
        <f t="shared" si="758"/>
        <v>х</v>
      </c>
      <c r="BD510" s="5" t="str">
        <f t="shared" si="758"/>
        <v>х</v>
      </c>
      <c r="BE510" s="5" t="str">
        <f t="shared" si="758"/>
        <v>х</v>
      </c>
      <c r="BF510" s="5" t="str">
        <f t="shared" si="758"/>
        <v>х</v>
      </c>
      <c r="BG510" s="5" t="str">
        <f>""</f>
        <v/>
      </c>
      <c r="BH510" s="5" t="str">
        <f>""</f>
        <v/>
      </c>
      <c r="BI510" s="5" t="str">
        <f>""</f>
        <v/>
      </c>
      <c r="BJ510" s="5" t="str">
        <f>""</f>
        <v/>
      </c>
      <c r="BK510" s="5" t="str">
        <f>""</f>
        <v/>
      </c>
      <c r="BL510" s="5" t="str">
        <f>""</f>
        <v/>
      </c>
      <c r="BM510" s="5" t="str">
        <f>""</f>
        <v/>
      </c>
      <c r="BN510" s="5" t="str">
        <f>""</f>
        <v/>
      </c>
      <c r="BO510" s="5" t="str">
        <f>""</f>
        <v/>
      </c>
      <c r="BP510" s="5" t="str">
        <f>""</f>
        <v/>
      </c>
      <c r="BQ510" s="5" t="str">
        <f>""</f>
        <v/>
      </c>
      <c r="BR510" s="5" t="str">
        <f>""</f>
        <v/>
      </c>
      <c r="BS510" s="5" t="str">
        <f>"49,00"</f>
        <v>49,00</v>
      </c>
      <c r="BT510" s="5" t="str">
        <f>"2020"</f>
        <v>2020</v>
      </c>
      <c r="BU510" s="5" t="str">
        <f t="shared" si="752"/>
        <v>нет</v>
      </c>
      <c r="BV510" s="5" t="str">
        <f t="shared" si="757"/>
        <v>x</v>
      </c>
      <c r="BW510" s="5" t="str">
        <f t="shared" si="757"/>
        <v>x</v>
      </c>
      <c r="BX510" s="5" t="str">
        <f t="shared" si="757"/>
        <v>x</v>
      </c>
      <c r="BY510" s="5" t="str">
        <f t="shared" si="750"/>
        <v>нет</v>
      </c>
      <c r="BZ510" s="5" t="str">
        <f t="shared" si="751"/>
        <v>x</v>
      </c>
      <c r="CA510" s="5" t="str">
        <f t="shared" si="751"/>
        <v>x</v>
      </c>
      <c r="CB510" s="5" t="str">
        <f t="shared" si="751"/>
        <v>x</v>
      </c>
      <c r="CC510" s="5" t="str">
        <f>""</f>
        <v/>
      </c>
      <c r="CD510" s="5" t="str">
        <f>"60,00"</f>
        <v>60,00</v>
      </c>
      <c r="CE510" s="5" t="str">
        <f>"2021"</f>
        <v>2021</v>
      </c>
      <c r="CF510" s="5" t="str">
        <f>""</f>
        <v/>
      </c>
      <c r="CG510" s="5" t="str">
        <f>"40,00"</f>
        <v>40,00</v>
      </c>
      <c r="CH510" s="5" t="str">
        <f>"2021"</f>
        <v>2021</v>
      </c>
      <c r="CI510" s="5" t="str">
        <f>"37,00"</f>
        <v>37,00</v>
      </c>
      <c r="CJ510" s="5" t="str">
        <f>"2021"</f>
        <v>2021</v>
      </c>
    </row>
    <row r="511" spans="1:88" ht="11.25" customHeight="1">
      <c r="A511" s="3" t="str">
        <f>"1.498"</f>
        <v>1.498</v>
      </c>
      <c r="B511" s="4" t="str">
        <f>"пгт. Вохтога, ул. Клубная, д.27"</f>
        <v>пгт. Вохтога, ул. Клубная, д.27</v>
      </c>
      <c r="C511" s="7" t="str">
        <f>"1955"</f>
        <v>1955</v>
      </c>
      <c r="D511" s="5" t="str">
        <f>""</f>
        <v/>
      </c>
      <c r="E511" s="5" t="str">
        <f>"62,00"</f>
        <v>62,00</v>
      </c>
      <c r="F511" s="5" t="str">
        <f>"2019"</f>
        <v>2019</v>
      </c>
      <c r="G511" s="5" t="str">
        <f t="shared" si="747"/>
        <v>нет</v>
      </c>
      <c r="H511" s="5" t="str">
        <f>""</f>
        <v/>
      </c>
      <c r="I511" s="5" t="str">
        <f>""</f>
        <v/>
      </c>
      <c r="J511" s="5" t="str">
        <f>""</f>
        <v/>
      </c>
      <c r="K511" s="5" t="str">
        <f t="shared" si="748"/>
        <v>нет</v>
      </c>
      <c r="L511" s="5" t="str">
        <f>""</f>
        <v/>
      </c>
      <c r="M511" s="5" t="str">
        <f>""</f>
        <v/>
      </c>
      <c r="N511" s="5" t="str">
        <f>""</f>
        <v/>
      </c>
      <c r="O511" s="8" t="str">
        <f>""</f>
        <v/>
      </c>
      <c r="P511" s="5" t="str">
        <f>""</f>
        <v/>
      </c>
      <c r="Q511" s="5" t="str">
        <f>""</f>
        <v/>
      </c>
      <c r="R511" s="5" t="str">
        <f>""</f>
        <v/>
      </c>
      <c r="S511" s="5" t="str">
        <f>""</f>
        <v/>
      </c>
      <c r="T511" s="5" t="str">
        <f>""</f>
        <v/>
      </c>
      <c r="U511" s="5" t="str">
        <f>""</f>
        <v/>
      </c>
      <c r="V511" s="5" t="str">
        <f>""</f>
        <v/>
      </c>
      <c r="W511" s="5" t="str">
        <f>""</f>
        <v/>
      </c>
      <c r="X511" s="5" t="str">
        <f>""</f>
        <v/>
      </c>
      <c r="Y511" s="9" t="str">
        <f>""</f>
        <v/>
      </c>
      <c r="Z511" s="5" t="str">
        <f>""</f>
        <v/>
      </c>
      <c r="AA511" s="5" t="str">
        <f>""</f>
        <v/>
      </c>
      <c r="AB511" s="5" t="str">
        <f>""</f>
        <v/>
      </c>
      <c r="AC511" s="5" t="str">
        <f>""</f>
        <v/>
      </c>
      <c r="AD511" s="5" t="str">
        <f>""</f>
        <v/>
      </c>
      <c r="AE511" s="5" t="str">
        <f>""</f>
        <v/>
      </c>
      <c r="AF511" s="5" t="str">
        <f>""</f>
        <v/>
      </c>
      <c r="AG511" s="5" t="str">
        <f>""</f>
        <v/>
      </c>
      <c r="AH511" s="5" t="str">
        <f>""</f>
        <v/>
      </c>
      <c r="AI511" s="5" t="str">
        <f>""</f>
        <v/>
      </c>
      <c r="AJ511" s="5" t="str">
        <f>""</f>
        <v/>
      </c>
      <c r="AK511" s="8" t="str">
        <f>""</f>
        <v/>
      </c>
      <c r="AL511" s="5" t="str">
        <f>"62,00"</f>
        <v>62,00</v>
      </c>
      <c r="AM511" s="5" t="str">
        <f>"2019"</f>
        <v>2019</v>
      </c>
      <c r="AN511" s="5" t="str">
        <f t="shared" si="755"/>
        <v>нет</v>
      </c>
      <c r="AO511" s="5" t="str">
        <f>""</f>
        <v/>
      </c>
      <c r="AP511" s="5" t="str">
        <f>""</f>
        <v/>
      </c>
      <c r="AQ511" s="5" t="str">
        <f>""</f>
        <v/>
      </c>
      <c r="AR511" s="5" t="str">
        <f t="shared" si="756"/>
        <v>нет</v>
      </c>
      <c r="AS511" s="5" t="str">
        <f>""</f>
        <v/>
      </c>
      <c r="AT511" s="5" t="str">
        <f>""</f>
        <v/>
      </c>
      <c r="AU511" s="5" t="str">
        <f>""</f>
        <v/>
      </c>
      <c r="AV511" s="5" t="str">
        <f t="shared" si="758"/>
        <v>х</v>
      </c>
      <c r="AW511" s="5" t="str">
        <f t="shared" si="758"/>
        <v>х</v>
      </c>
      <c r="AX511" s="5" t="str">
        <f t="shared" si="758"/>
        <v>х</v>
      </c>
      <c r="AY511" s="5" t="str">
        <f t="shared" si="758"/>
        <v>х</v>
      </c>
      <c r="AZ511" s="5" t="str">
        <f t="shared" si="758"/>
        <v>х</v>
      </c>
      <c r="BA511" s="5" t="str">
        <f t="shared" si="758"/>
        <v>х</v>
      </c>
      <c r="BB511" s="5" t="str">
        <f t="shared" si="758"/>
        <v>х</v>
      </c>
      <c r="BC511" s="5" t="str">
        <f t="shared" si="758"/>
        <v>х</v>
      </c>
      <c r="BD511" s="5" t="str">
        <f t="shared" si="758"/>
        <v>х</v>
      </c>
      <c r="BE511" s="5" t="str">
        <f t="shared" si="758"/>
        <v>х</v>
      </c>
      <c r="BF511" s="5" t="str">
        <f t="shared" si="758"/>
        <v>х</v>
      </c>
      <c r="BG511" s="5" t="str">
        <f>""</f>
        <v/>
      </c>
      <c r="BH511" s="5" t="str">
        <f>""</f>
        <v/>
      </c>
      <c r="BI511" s="5" t="str">
        <f>""</f>
        <v/>
      </c>
      <c r="BJ511" s="5" t="str">
        <f>""</f>
        <v/>
      </c>
      <c r="BK511" s="5" t="str">
        <f>""</f>
        <v/>
      </c>
      <c r="BL511" s="5" t="str">
        <f>""</f>
        <v/>
      </c>
      <c r="BM511" s="5" t="str">
        <f>""</f>
        <v/>
      </c>
      <c r="BN511" s="5" t="str">
        <f>""</f>
        <v/>
      </c>
      <c r="BO511" s="5" t="str">
        <f>""</f>
        <v/>
      </c>
      <c r="BP511" s="5" t="str">
        <f>""</f>
        <v/>
      </c>
      <c r="BQ511" s="5" t="str">
        <f>""</f>
        <v/>
      </c>
      <c r="BR511" s="5" t="str">
        <f>""</f>
        <v/>
      </c>
      <c r="BS511" s="5" t="str">
        <f>"62,00"</f>
        <v>62,00</v>
      </c>
      <c r="BT511" s="5" t="str">
        <f>"2019"</f>
        <v>2019</v>
      </c>
      <c r="BU511" s="5" t="str">
        <f t="shared" si="752"/>
        <v>нет</v>
      </c>
      <c r="BV511" s="5" t="str">
        <f t="shared" si="757"/>
        <v>x</v>
      </c>
      <c r="BW511" s="5" t="str">
        <f t="shared" si="757"/>
        <v>x</v>
      </c>
      <c r="BX511" s="5" t="str">
        <f t="shared" si="757"/>
        <v>x</v>
      </c>
      <c r="BY511" s="5" t="str">
        <f t="shared" si="750"/>
        <v>нет</v>
      </c>
      <c r="BZ511" s="5" t="str">
        <f t="shared" si="751"/>
        <v>x</v>
      </c>
      <c r="CA511" s="5" t="str">
        <f t="shared" si="751"/>
        <v>x</v>
      </c>
      <c r="CB511" s="5" t="str">
        <f t="shared" si="751"/>
        <v>x</v>
      </c>
      <c r="CC511" s="5" t="str">
        <f>""</f>
        <v/>
      </c>
      <c r="CD511" s="5" t="str">
        <f>"62,00"</f>
        <v>62,00</v>
      </c>
      <c r="CE511" s="5" t="str">
        <f>"2019"</f>
        <v>2019</v>
      </c>
      <c r="CF511" s="5" t="str">
        <f>""</f>
        <v/>
      </c>
      <c r="CG511" s="5" t="str">
        <f>"62,00"</f>
        <v>62,00</v>
      </c>
      <c r="CH511" s="5" t="str">
        <f>"2019"</f>
        <v>2019</v>
      </c>
      <c r="CI511" s="5" t="str">
        <f>"62,00"</f>
        <v>62,00</v>
      </c>
      <c r="CJ511" s="5" t="str">
        <f>"2019"</f>
        <v>2019</v>
      </c>
    </row>
    <row r="512" spans="1:88" ht="11.25" customHeight="1">
      <c r="A512" s="3" t="str">
        <f>"1.499"</f>
        <v>1.499</v>
      </c>
      <c r="B512" s="4" t="str">
        <f>"пгт. Вохтога, ул. Колхозная, д.101"</f>
        <v>пгт. Вохтога, ул. Колхозная, д.101</v>
      </c>
      <c r="C512" s="7" t="str">
        <f>"1960"</f>
        <v>1960</v>
      </c>
      <c r="D512" s="5" t="str">
        <f>""</f>
        <v/>
      </c>
      <c r="E512" s="5" t="str">
        <f>"15,00"</f>
        <v>15,00</v>
      </c>
      <c r="F512" s="5" t="str">
        <f>"2030"</f>
        <v>2030</v>
      </c>
      <c r="G512" s="5" t="str">
        <f t="shared" si="747"/>
        <v>нет</v>
      </c>
      <c r="H512" s="5" t="str">
        <f>""</f>
        <v/>
      </c>
      <c r="I512" s="5" t="str">
        <f>""</f>
        <v/>
      </c>
      <c r="J512" s="5" t="str">
        <f>""</f>
        <v/>
      </c>
      <c r="K512" s="5" t="str">
        <f t="shared" si="748"/>
        <v>нет</v>
      </c>
      <c r="L512" s="5" t="str">
        <f>""</f>
        <v/>
      </c>
      <c r="M512" s="5" t="str">
        <f>""</f>
        <v/>
      </c>
      <c r="N512" s="5" t="str">
        <f>""</f>
        <v/>
      </c>
      <c r="O512" s="8" t="str">
        <f>""</f>
        <v/>
      </c>
      <c r="P512" s="5" t="str">
        <f>""</f>
        <v/>
      </c>
      <c r="Q512" s="5" t="str">
        <f>""</f>
        <v/>
      </c>
      <c r="R512" s="5" t="str">
        <f>""</f>
        <v/>
      </c>
      <c r="S512" s="5" t="str">
        <f>""</f>
        <v/>
      </c>
      <c r="T512" s="5" t="str">
        <f>""</f>
        <v/>
      </c>
      <c r="U512" s="5" t="str">
        <f>""</f>
        <v/>
      </c>
      <c r="V512" s="5" t="str">
        <f>""</f>
        <v/>
      </c>
      <c r="W512" s="5" t="str">
        <f>""</f>
        <v/>
      </c>
      <c r="X512" s="5" t="str">
        <f>""</f>
        <v/>
      </c>
      <c r="Y512" s="9" t="str">
        <f>""</f>
        <v/>
      </c>
      <c r="Z512" s="5" t="str">
        <f>""</f>
        <v/>
      </c>
      <c r="AA512" s="5" t="str">
        <f>""</f>
        <v/>
      </c>
      <c r="AB512" s="5" t="str">
        <f>""</f>
        <v/>
      </c>
      <c r="AC512" s="5" t="str">
        <f>""</f>
        <v/>
      </c>
      <c r="AD512" s="5" t="str">
        <f>""</f>
        <v/>
      </c>
      <c r="AE512" s="5" t="str">
        <f>""</f>
        <v/>
      </c>
      <c r="AF512" s="5" t="str">
        <f>""</f>
        <v/>
      </c>
      <c r="AG512" s="5" t="str">
        <f>""</f>
        <v/>
      </c>
      <c r="AH512" s="5" t="str">
        <f>""</f>
        <v/>
      </c>
      <c r="AI512" s="5" t="str">
        <f>""</f>
        <v/>
      </c>
      <c r="AJ512" s="5" t="str">
        <f>""</f>
        <v/>
      </c>
      <c r="AK512" s="8" t="str">
        <f>""</f>
        <v/>
      </c>
      <c r="AL512" s="5" t="str">
        <f>"15,00"</f>
        <v>15,00</v>
      </c>
      <c r="AM512" s="5" t="str">
        <f>"2030"</f>
        <v>2030</v>
      </c>
      <c r="AN512" s="5" t="str">
        <f t="shared" si="755"/>
        <v>нет</v>
      </c>
      <c r="AO512" s="5" t="str">
        <f>""</f>
        <v/>
      </c>
      <c r="AP512" s="5" t="str">
        <f>""</f>
        <v/>
      </c>
      <c r="AQ512" s="5" t="str">
        <f>""</f>
        <v/>
      </c>
      <c r="AR512" s="5" t="str">
        <f t="shared" si="756"/>
        <v>нет</v>
      </c>
      <c r="AS512" s="5" t="str">
        <f>""</f>
        <v/>
      </c>
      <c r="AT512" s="5" t="str">
        <f>""</f>
        <v/>
      </c>
      <c r="AU512" s="5" t="str">
        <f>""</f>
        <v/>
      </c>
      <c r="AV512" s="5" t="str">
        <f t="shared" si="758"/>
        <v>х</v>
      </c>
      <c r="AW512" s="5" t="str">
        <f t="shared" si="758"/>
        <v>х</v>
      </c>
      <c r="AX512" s="5" t="str">
        <f t="shared" si="758"/>
        <v>х</v>
      </c>
      <c r="AY512" s="5" t="str">
        <f t="shared" si="758"/>
        <v>х</v>
      </c>
      <c r="AZ512" s="5" t="str">
        <f t="shared" si="758"/>
        <v>х</v>
      </c>
      <c r="BA512" s="5" t="str">
        <f t="shared" si="758"/>
        <v>х</v>
      </c>
      <c r="BB512" s="5" t="str">
        <f t="shared" si="758"/>
        <v>х</v>
      </c>
      <c r="BC512" s="5" t="str">
        <f t="shared" si="758"/>
        <v>х</v>
      </c>
      <c r="BD512" s="5" t="str">
        <f t="shared" si="758"/>
        <v>х</v>
      </c>
      <c r="BE512" s="5" t="str">
        <f t="shared" si="758"/>
        <v>х</v>
      </c>
      <c r="BF512" s="5" t="str">
        <f t="shared" si="758"/>
        <v>х</v>
      </c>
      <c r="BG512" s="5" t="str">
        <f>""</f>
        <v/>
      </c>
      <c r="BH512" s="5" t="str">
        <f>""</f>
        <v/>
      </c>
      <c r="BI512" s="5" t="str">
        <f>""</f>
        <v/>
      </c>
      <c r="BJ512" s="5" t="str">
        <f>""</f>
        <v/>
      </c>
      <c r="BK512" s="5" t="str">
        <f>""</f>
        <v/>
      </c>
      <c r="BL512" s="5" t="str">
        <f>""</f>
        <v/>
      </c>
      <c r="BM512" s="5" t="str">
        <f>""</f>
        <v/>
      </c>
      <c r="BN512" s="5" t="str">
        <f>""</f>
        <v/>
      </c>
      <c r="BO512" s="5" t="str">
        <f>""</f>
        <v/>
      </c>
      <c r="BP512" s="5" t="str">
        <f>""</f>
        <v/>
      </c>
      <c r="BQ512" s="5" t="str">
        <f>""</f>
        <v/>
      </c>
      <c r="BR512" s="5" t="str">
        <f>""</f>
        <v/>
      </c>
      <c r="BS512" s="5" t="str">
        <f>"15,00"</f>
        <v>15,00</v>
      </c>
      <c r="BT512" s="5" t="str">
        <f>"2030"</f>
        <v>2030</v>
      </c>
      <c r="BU512" s="5" t="str">
        <f t="shared" si="752"/>
        <v>нет</v>
      </c>
      <c r="BV512" s="5" t="str">
        <f t="shared" si="757"/>
        <v>x</v>
      </c>
      <c r="BW512" s="5" t="str">
        <f t="shared" si="757"/>
        <v>x</v>
      </c>
      <c r="BX512" s="5" t="str">
        <f t="shared" si="757"/>
        <v>x</v>
      </c>
      <c r="BY512" s="5" t="str">
        <f t="shared" si="750"/>
        <v>нет</v>
      </c>
      <c r="BZ512" s="5" t="str">
        <f t="shared" si="751"/>
        <v>x</v>
      </c>
      <c r="CA512" s="5" t="str">
        <f t="shared" si="751"/>
        <v>x</v>
      </c>
      <c r="CB512" s="5" t="str">
        <f t="shared" si="751"/>
        <v>x</v>
      </c>
      <c r="CC512" s="5" t="str">
        <f>""</f>
        <v/>
      </c>
      <c r="CD512" s="5" t="str">
        <f>"40,00"</f>
        <v>40,00</v>
      </c>
      <c r="CE512" s="5" t="str">
        <f>"2023"</f>
        <v>2023</v>
      </c>
      <c r="CF512" s="5" t="str">
        <f>""</f>
        <v/>
      </c>
      <c r="CG512" s="5" t="str">
        <f>"36,00"</f>
        <v>36,00</v>
      </c>
      <c r="CH512" s="5" t="str">
        <f>"2023"</f>
        <v>2023</v>
      </c>
      <c r="CI512" s="5" t="str">
        <f>"35,00"</f>
        <v>35,00</v>
      </c>
      <c r="CJ512" s="5" t="str">
        <f>"2023"</f>
        <v>2023</v>
      </c>
    </row>
    <row r="513" spans="1:88" ht="11.25" customHeight="1">
      <c r="A513" s="3" t="str">
        <f>"1.500"</f>
        <v>1.500</v>
      </c>
      <c r="B513" s="4" t="str">
        <f>"пгт. Вохтога, ул. Колхозная, д.109"</f>
        <v>пгт. Вохтога, ул. Колхозная, д.109</v>
      </c>
      <c r="C513" s="7" t="str">
        <f>"1991"</f>
        <v>1991</v>
      </c>
      <c r="D513" s="5" t="str">
        <f>""</f>
        <v/>
      </c>
      <c r="E513" s="5" t="str">
        <f>"25,00"</f>
        <v>25,00</v>
      </c>
      <c r="F513" s="5" t="str">
        <f>"2030"</f>
        <v>2030</v>
      </c>
      <c r="G513" s="5" t="str">
        <f>"да"</f>
        <v>да</v>
      </c>
      <c r="H513" s="5" t="str">
        <f>"2010"</f>
        <v>2010</v>
      </c>
      <c r="I513" s="5" t="str">
        <f>"15,00"</f>
        <v>15,00</v>
      </c>
      <c r="J513" s="5" t="str">
        <f>"2020"</f>
        <v>2020</v>
      </c>
      <c r="K513" s="5" t="str">
        <f>"да"</f>
        <v>да</v>
      </c>
      <c r="L513" s="5" t="str">
        <f>""</f>
        <v/>
      </c>
      <c r="M513" s="5" t="str">
        <f>"15,00"</f>
        <v>15,00</v>
      </c>
      <c r="N513" s="5" t="str">
        <f>"2030"</f>
        <v>2030</v>
      </c>
      <c r="O513" s="8" t="str">
        <f>""</f>
        <v/>
      </c>
      <c r="P513" s="5" t="str">
        <f>"30,00"</f>
        <v>30,00</v>
      </c>
      <c r="Q513" s="5" t="str">
        <f>"2020"</f>
        <v>2020</v>
      </c>
      <c r="R513" s="5" t="str">
        <f t="shared" ref="R513:R519" si="760">"нет"</f>
        <v>нет</v>
      </c>
      <c r="S513" s="5" t="str">
        <f>""</f>
        <v/>
      </c>
      <c r="T513" s="5" t="str">
        <f>""</f>
        <v/>
      </c>
      <c r="U513" s="5" t="str">
        <f>""</f>
        <v/>
      </c>
      <c r="V513" s="5" t="str">
        <f t="shared" ref="V513:V532" si="761">"нет"</f>
        <v>нет</v>
      </c>
      <c r="W513" s="5" t="str">
        <f>""</f>
        <v/>
      </c>
      <c r="X513" s="5" t="str">
        <f>""</f>
        <v/>
      </c>
      <c r="Y513" s="9" t="str">
        <f>""</f>
        <v/>
      </c>
      <c r="Z513" s="5" t="str">
        <f>""</f>
        <v/>
      </c>
      <c r="AA513" s="5" t="str">
        <f>"2,00"</f>
        <v>2,00</v>
      </c>
      <c r="AB513" s="5" t="str">
        <f>"2040"</f>
        <v>2040</v>
      </c>
      <c r="AC513" s="5" t="str">
        <f>"нет"</f>
        <v>нет</v>
      </c>
      <c r="AD513" s="5" t="str">
        <f>""</f>
        <v/>
      </c>
      <c r="AE513" s="5" t="str">
        <f>""</f>
        <v/>
      </c>
      <c r="AF513" s="5" t="str">
        <f>""</f>
        <v/>
      </c>
      <c r="AG513" s="5" t="str">
        <f>"нет"</f>
        <v>нет</v>
      </c>
      <c r="AH513" s="5" t="str">
        <f>""</f>
        <v/>
      </c>
      <c r="AI513" s="5" t="str">
        <f>""</f>
        <v/>
      </c>
      <c r="AJ513" s="5" t="str">
        <f>""</f>
        <v/>
      </c>
      <c r="AK513" s="8" t="str">
        <f>""</f>
        <v/>
      </c>
      <c r="AL513" s="5" t="str">
        <f>"15,00"</f>
        <v>15,00</v>
      </c>
      <c r="AM513" s="5" t="str">
        <f>"2030"</f>
        <v>2030</v>
      </c>
      <c r="AN513" s="5" t="str">
        <f t="shared" si="755"/>
        <v>нет</v>
      </c>
      <c r="AO513" s="5" t="str">
        <f>""</f>
        <v/>
      </c>
      <c r="AP513" s="5" t="str">
        <f>""</f>
        <v/>
      </c>
      <c r="AQ513" s="5" t="str">
        <f>""</f>
        <v/>
      </c>
      <c r="AR513" s="5" t="str">
        <f t="shared" si="756"/>
        <v>нет</v>
      </c>
      <c r="AS513" s="5" t="str">
        <f>""</f>
        <v/>
      </c>
      <c r="AT513" s="5" t="str">
        <f>""</f>
        <v/>
      </c>
      <c r="AU513" s="5" t="str">
        <f>""</f>
        <v/>
      </c>
      <c r="AV513" s="5" t="str">
        <f>""</f>
        <v/>
      </c>
      <c r="AW513" s="5" t="str">
        <f>"15,00"</f>
        <v>15,00</v>
      </c>
      <c r="AX513" s="5" t="str">
        <f>"2020"</f>
        <v>2020</v>
      </c>
      <c r="AY513" s="5" t="str">
        <f t="shared" ref="AY513:AY522" si="762">"нет"</f>
        <v>нет</v>
      </c>
      <c r="AZ513" s="5" t="str">
        <f>""</f>
        <v/>
      </c>
      <c r="BA513" s="5" t="str">
        <f>""</f>
        <v/>
      </c>
      <c r="BB513" s="5" t="str">
        <f>""</f>
        <v/>
      </c>
      <c r="BC513" s="5" t="str">
        <f t="shared" ref="BC513:BC522" si="763">"да"</f>
        <v>да</v>
      </c>
      <c r="BD513" s="5" t="str">
        <f>""</f>
        <v/>
      </c>
      <c r="BE513" s="5" t="str">
        <f>"15,00"</f>
        <v>15,00</v>
      </c>
      <c r="BF513" s="5" t="str">
        <f>"2020"</f>
        <v>2020</v>
      </c>
      <c r="BG513" s="5" t="str">
        <f>""</f>
        <v/>
      </c>
      <c r="BH513" s="5" t="str">
        <f>"10,00"</f>
        <v>10,00</v>
      </c>
      <c r="BI513" s="5" t="str">
        <f>"2035"</f>
        <v>2035</v>
      </c>
      <c r="BJ513" s="5" t="str">
        <f t="shared" ref="BJ513:BJ531" si="764">"нет"</f>
        <v>нет</v>
      </c>
      <c r="BK513" s="5" t="str">
        <f>""</f>
        <v/>
      </c>
      <c r="BL513" s="5" t="str">
        <f>""</f>
        <v/>
      </c>
      <c r="BM513" s="5" t="str">
        <f>""</f>
        <v/>
      </c>
      <c r="BN513" s="5" t="str">
        <f t="shared" ref="BN513:BN531" si="765">"нет"</f>
        <v>нет</v>
      </c>
      <c r="BO513" s="5" t="str">
        <f>""</f>
        <v/>
      </c>
      <c r="BP513" s="5" t="str">
        <f>""</f>
        <v/>
      </c>
      <c r="BQ513" s="5" t="str">
        <f>""</f>
        <v/>
      </c>
      <c r="BR513" s="5" t="str">
        <f>""</f>
        <v/>
      </c>
      <c r="BS513" s="5" t="str">
        <f>"39,00"</f>
        <v>39,00</v>
      </c>
      <c r="BT513" s="5" t="str">
        <f>"2017"</f>
        <v>2017</v>
      </c>
      <c r="BU513" s="5" t="str">
        <f t="shared" si="752"/>
        <v>нет</v>
      </c>
      <c r="BV513" s="5" t="str">
        <f t="shared" si="757"/>
        <v>x</v>
      </c>
      <c r="BW513" s="5" t="str">
        <f t="shared" si="757"/>
        <v>x</v>
      </c>
      <c r="BX513" s="5" t="str">
        <f t="shared" si="757"/>
        <v>x</v>
      </c>
      <c r="BY513" s="5" t="str">
        <f t="shared" ref="BY513:BY522" si="766">"да"</f>
        <v>да</v>
      </c>
      <c r="BZ513" s="5" t="str">
        <f>""</f>
        <v/>
      </c>
      <c r="CA513" s="5" t="str">
        <f>"10,00"</f>
        <v>10,00</v>
      </c>
      <c r="CB513" s="5" t="str">
        <f>"2035"</f>
        <v>2035</v>
      </c>
      <c r="CC513" s="5" t="str">
        <f>""</f>
        <v/>
      </c>
      <c r="CD513" s="5" t="str">
        <f>"10,00"</f>
        <v>10,00</v>
      </c>
      <c r="CE513" s="5" t="str">
        <f>"2035"</f>
        <v>2035</v>
      </c>
      <c r="CF513" s="5" t="str">
        <f>""</f>
        <v/>
      </c>
      <c r="CG513" s="5" t="str">
        <f>"10,00"</f>
        <v>10,00</v>
      </c>
      <c r="CH513" s="5" t="str">
        <f>"2035"</f>
        <v>2035</v>
      </c>
      <c r="CI513" s="5" t="str">
        <f>"30,00"</f>
        <v>30,00</v>
      </c>
      <c r="CJ513" s="5" t="str">
        <f>"2028"</f>
        <v>2028</v>
      </c>
    </row>
    <row r="514" spans="1:88" ht="11.25" customHeight="1">
      <c r="A514" s="3" t="str">
        <f>"1.501"</f>
        <v>1.501</v>
      </c>
      <c r="B514" s="4" t="str">
        <f>"пгт. Вохтога, ул. Колхозная, д.32"</f>
        <v>пгт. Вохтога, ул. Колхозная, д.32</v>
      </c>
      <c r="C514" s="7" t="str">
        <f>"1986"</f>
        <v>1986</v>
      </c>
      <c r="D514" s="5" t="str">
        <f>""</f>
        <v/>
      </c>
      <c r="E514" s="5" t="str">
        <f>"15,00"</f>
        <v>15,00</v>
      </c>
      <c r="F514" s="5" t="str">
        <f>"2030"</f>
        <v>2030</v>
      </c>
      <c r="G514" s="5" t="str">
        <f>"нет"</f>
        <v>нет</v>
      </c>
      <c r="H514" s="5" t="str">
        <f>""</f>
        <v/>
      </c>
      <c r="I514" s="5" t="str">
        <f>""</f>
        <v/>
      </c>
      <c r="J514" s="5" t="str">
        <f>""</f>
        <v/>
      </c>
      <c r="K514" s="5" t="str">
        <f>"нет"</f>
        <v>нет</v>
      </c>
      <c r="L514" s="5" t="str">
        <f>""</f>
        <v/>
      </c>
      <c r="M514" s="5" t="str">
        <f>""</f>
        <v/>
      </c>
      <c r="N514" s="5" t="str">
        <f>""</f>
        <v/>
      </c>
      <c r="O514" s="8" t="str">
        <f>""</f>
        <v/>
      </c>
      <c r="P514" s="5" t="str">
        <f>"30,00"</f>
        <v>30,00</v>
      </c>
      <c r="Q514" s="5" t="str">
        <f>"2026"</f>
        <v>2026</v>
      </c>
      <c r="R514" s="5" t="str">
        <f t="shared" si="760"/>
        <v>нет</v>
      </c>
      <c r="S514" s="5" t="str">
        <f>""</f>
        <v/>
      </c>
      <c r="T514" s="5" t="str">
        <f>""</f>
        <v/>
      </c>
      <c r="U514" s="5" t="str">
        <f>""</f>
        <v/>
      </c>
      <c r="V514" s="5" t="str">
        <f t="shared" si="761"/>
        <v>нет</v>
      </c>
      <c r="W514" s="5" t="str">
        <f>""</f>
        <v/>
      </c>
      <c r="X514" s="5" t="str">
        <f>""</f>
        <v/>
      </c>
      <c r="Y514" s="9" t="str">
        <f>""</f>
        <v/>
      </c>
      <c r="Z514" s="5" t="str">
        <f>""</f>
        <v/>
      </c>
      <c r="AA514" s="5" t="str">
        <f>""</f>
        <v/>
      </c>
      <c r="AB514" s="5" t="str">
        <f>""</f>
        <v/>
      </c>
      <c r="AC514" s="5" t="str">
        <f>""</f>
        <v/>
      </c>
      <c r="AD514" s="5" t="str">
        <f>""</f>
        <v/>
      </c>
      <c r="AE514" s="5" t="str">
        <f>""</f>
        <v/>
      </c>
      <c r="AF514" s="5" t="str">
        <f>""</f>
        <v/>
      </c>
      <c r="AG514" s="5" t="str">
        <f>""</f>
        <v/>
      </c>
      <c r="AH514" s="5" t="str">
        <f>""</f>
        <v/>
      </c>
      <c r="AI514" s="5" t="str">
        <f>""</f>
        <v/>
      </c>
      <c r="AJ514" s="5" t="str">
        <f>""</f>
        <v/>
      </c>
      <c r="AK514" s="8" t="str">
        <f>""</f>
        <v/>
      </c>
      <c r="AL514" s="5" t="str">
        <f>"30,00"</f>
        <v>30,00</v>
      </c>
      <c r="AM514" s="5" t="str">
        <f>"2026"</f>
        <v>2026</v>
      </c>
      <c r="AN514" s="5" t="str">
        <f t="shared" si="755"/>
        <v>нет</v>
      </c>
      <c r="AO514" s="5" t="str">
        <f>""</f>
        <v/>
      </c>
      <c r="AP514" s="5" t="str">
        <f>""</f>
        <v/>
      </c>
      <c r="AQ514" s="5" t="str">
        <f>""</f>
        <v/>
      </c>
      <c r="AR514" s="5" t="str">
        <f t="shared" si="756"/>
        <v>нет</v>
      </c>
      <c r="AS514" s="5" t="str">
        <f>""</f>
        <v/>
      </c>
      <c r="AT514" s="5" t="str">
        <f>""</f>
        <v/>
      </c>
      <c r="AU514" s="5" t="str">
        <f>""</f>
        <v/>
      </c>
      <c r="AV514" s="5" t="str">
        <f>""</f>
        <v/>
      </c>
      <c r="AW514" s="5" t="str">
        <f>"35,00"</f>
        <v>35,00</v>
      </c>
      <c r="AX514" s="5" t="str">
        <f>"2026"</f>
        <v>2026</v>
      </c>
      <c r="AY514" s="5" t="str">
        <f t="shared" si="762"/>
        <v>нет</v>
      </c>
      <c r="AZ514" s="5" t="str">
        <f>""</f>
        <v/>
      </c>
      <c r="BA514" s="5" t="str">
        <f>""</f>
        <v/>
      </c>
      <c r="BB514" s="5" t="str">
        <f>""</f>
        <v/>
      </c>
      <c r="BC514" s="5" t="str">
        <f t="shared" si="763"/>
        <v>да</v>
      </c>
      <c r="BD514" s="5" t="str">
        <f>""</f>
        <v/>
      </c>
      <c r="BE514" s="5" t="str">
        <f>"35,00"</f>
        <v>35,00</v>
      </c>
      <c r="BF514" s="5" t="str">
        <f>"2026"</f>
        <v>2026</v>
      </c>
      <c r="BG514" s="5" t="str">
        <f>""</f>
        <v/>
      </c>
      <c r="BH514" s="5" t="str">
        <f>"15,00"</f>
        <v>15,00</v>
      </c>
      <c r="BI514" s="5" t="str">
        <f>"2035"</f>
        <v>2035</v>
      </c>
      <c r="BJ514" s="5" t="str">
        <f t="shared" si="764"/>
        <v>нет</v>
      </c>
      <c r="BK514" s="5" t="str">
        <f>""</f>
        <v/>
      </c>
      <c r="BL514" s="5" t="str">
        <f>""</f>
        <v/>
      </c>
      <c r="BM514" s="5" t="str">
        <f>""</f>
        <v/>
      </c>
      <c r="BN514" s="5" t="str">
        <f t="shared" si="765"/>
        <v>нет</v>
      </c>
      <c r="BO514" s="5" t="str">
        <f>""</f>
        <v/>
      </c>
      <c r="BP514" s="5" t="str">
        <f>""</f>
        <v/>
      </c>
      <c r="BQ514" s="5" t="str">
        <f>""</f>
        <v/>
      </c>
      <c r="BR514" s="5" t="str">
        <f>""</f>
        <v/>
      </c>
      <c r="BS514" s="5" t="str">
        <f>"45,00"</f>
        <v>45,00</v>
      </c>
      <c r="BT514" s="5" t="str">
        <f>"2017"</f>
        <v>2017</v>
      </c>
      <c r="BU514" s="5" t="str">
        <f t="shared" si="752"/>
        <v>нет</v>
      </c>
      <c r="BV514" s="5" t="str">
        <f t="shared" si="757"/>
        <v>x</v>
      </c>
      <c r="BW514" s="5" t="str">
        <f t="shared" si="757"/>
        <v>x</v>
      </c>
      <c r="BX514" s="5" t="str">
        <f t="shared" si="757"/>
        <v>x</v>
      </c>
      <c r="BY514" s="5" t="str">
        <f t="shared" si="766"/>
        <v>да</v>
      </c>
      <c r="BZ514" s="5" t="str">
        <f>""</f>
        <v/>
      </c>
      <c r="CA514" s="5" t="str">
        <f>"10,00"</f>
        <v>10,00</v>
      </c>
      <c r="CB514" s="5" t="str">
        <f>"2035"</f>
        <v>2035</v>
      </c>
      <c r="CC514" s="5" t="str">
        <f>""</f>
        <v/>
      </c>
      <c r="CD514" s="5" t="str">
        <f>"10,00"</f>
        <v>10,00</v>
      </c>
      <c r="CE514" s="5" t="str">
        <f>"2035"</f>
        <v>2035</v>
      </c>
      <c r="CF514" s="5" t="str">
        <f>""</f>
        <v/>
      </c>
      <c r="CG514" s="5" t="str">
        <f>"10,00"</f>
        <v>10,00</v>
      </c>
      <c r="CH514" s="5" t="str">
        <f>"2035"</f>
        <v>2035</v>
      </c>
      <c r="CI514" s="5" t="str">
        <f>"25,00"</f>
        <v>25,00</v>
      </c>
      <c r="CJ514" s="5" t="str">
        <f>"2026"</f>
        <v>2026</v>
      </c>
    </row>
    <row r="515" spans="1:88" ht="11.25" customHeight="1">
      <c r="A515" s="3" t="str">
        <f>"1.502"</f>
        <v>1.502</v>
      </c>
      <c r="B515" s="4" t="str">
        <f>"пгт. Вохтога, ул. Колхозная, д.42"</f>
        <v>пгт. Вохтога, ул. Колхозная, д.42</v>
      </c>
      <c r="C515" s="7" t="str">
        <f>"1988"</f>
        <v>1988</v>
      </c>
      <c r="D515" s="5" t="str">
        <f>""</f>
        <v/>
      </c>
      <c r="E515" s="5" t="str">
        <f>"5,00"</f>
        <v>5,00</v>
      </c>
      <c r="F515" s="5" t="str">
        <f>"2032"</f>
        <v>2032</v>
      </c>
      <c r="G515" s="5" t="str">
        <f>"нет"</f>
        <v>нет</v>
      </c>
      <c r="H515" s="5" t="str">
        <f>""</f>
        <v/>
      </c>
      <c r="I515" s="5" t="str">
        <f>""</f>
        <v/>
      </c>
      <c r="J515" s="5" t="str">
        <f>""</f>
        <v/>
      </c>
      <c r="K515" s="5" t="str">
        <f>"нет"</f>
        <v>нет</v>
      </c>
      <c r="L515" s="5" t="str">
        <f>""</f>
        <v/>
      </c>
      <c r="M515" s="5" t="str">
        <f>""</f>
        <v/>
      </c>
      <c r="N515" s="5" t="str">
        <f>""</f>
        <v/>
      </c>
      <c r="O515" s="8" t="str">
        <f>""</f>
        <v/>
      </c>
      <c r="P515" s="5" t="str">
        <f>"6,00"</f>
        <v>6,00</v>
      </c>
      <c r="Q515" s="5" t="str">
        <f>"2032"</f>
        <v>2032</v>
      </c>
      <c r="R515" s="5" t="str">
        <f t="shared" si="760"/>
        <v>нет</v>
      </c>
      <c r="S515" s="5" t="str">
        <f>""</f>
        <v/>
      </c>
      <c r="T515" s="5" t="str">
        <f>""</f>
        <v/>
      </c>
      <c r="U515" s="5" t="str">
        <f>""</f>
        <v/>
      </c>
      <c r="V515" s="5" t="str">
        <f t="shared" si="761"/>
        <v>нет</v>
      </c>
      <c r="W515" s="5" t="str">
        <f>""</f>
        <v/>
      </c>
      <c r="X515" s="5" t="str">
        <f>""</f>
        <v/>
      </c>
      <c r="Y515" s="9" t="str">
        <f>""</f>
        <v/>
      </c>
      <c r="Z515" s="5" t="str">
        <f>""</f>
        <v/>
      </c>
      <c r="AA515" s="5" t="str">
        <f>""</f>
        <v/>
      </c>
      <c r="AB515" s="5" t="str">
        <f>""</f>
        <v/>
      </c>
      <c r="AC515" s="5" t="str">
        <f>""</f>
        <v/>
      </c>
      <c r="AD515" s="5" t="str">
        <f>""</f>
        <v/>
      </c>
      <c r="AE515" s="5" t="str">
        <f>""</f>
        <v/>
      </c>
      <c r="AF515" s="5" t="str">
        <f>""</f>
        <v/>
      </c>
      <c r="AG515" s="5" t="str">
        <f>""</f>
        <v/>
      </c>
      <c r="AH515" s="5" t="str">
        <f>""</f>
        <v/>
      </c>
      <c r="AI515" s="5" t="str">
        <f>""</f>
        <v/>
      </c>
      <c r="AJ515" s="5" t="str">
        <f>""</f>
        <v/>
      </c>
      <c r="AK515" s="8" t="str">
        <f>""</f>
        <v/>
      </c>
      <c r="AL515" s="5" t="str">
        <f>"6,00"</f>
        <v>6,00</v>
      </c>
      <c r="AM515" s="5" t="str">
        <f>"2032"</f>
        <v>2032</v>
      </c>
      <c r="AN515" s="5" t="str">
        <f t="shared" si="755"/>
        <v>нет</v>
      </c>
      <c r="AO515" s="5" t="str">
        <f>""</f>
        <v/>
      </c>
      <c r="AP515" s="5" t="str">
        <f>""</f>
        <v/>
      </c>
      <c r="AQ515" s="5" t="str">
        <f>""</f>
        <v/>
      </c>
      <c r="AR515" s="5" t="str">
        <f t="shared" si="756"/>
        <v>нет</v>
      </c>
      <c r="AS515" s="5" t="str">
        <f>""</f>
        <v/>
      </c>
      <c r="AT515" s="5" t="str">
        <f>""</f>
        <v/>
      </c>
      <c r="AU515" s="5" t="str">
        <f>""</f>
        <v/>
      </c>
      <c r="AV515" s="5" t="str">
        <f>""</f>
        <v/>
      </c>
      <c r="AW515" s="5" t="str">
        <f>"6,00"</f>
        <v>6,00</v>
      </c>
      <c r="AX515" s="5" t="str">
        <f>"2032"</f>
        <v>2032</v>
      </c>
      <c r="AY515" s="5" t="str">
        <f t="shared" si="762"/>
        <v>нет</v>
      </c>
      <c r="AZ515" s="5" t="str">
        <f>""</f>
        <v/>
      </c>
      <c r="BA515" s="5" t="str">
        <f>""</f>
        <v/>
      </c>
      <c r="BB515" s="5" t="str">
        <f>""</f>
        <v/>
      </c>
      <c r="BC515" s="5" t="str">
        <f t="shared" si="763"/>
        <v>да</v>
      </c>
      <c r="BD515" s="5" t="str">
        <f>""</f>
        <v/>
      </c>
      <c r="BE515" s="5" t="str">
        <f>"6,00"</f>
        <v>6,00</v>
      </c>
      <c r="BF515" s="5" t="str">
        <f>"2032"</f>
        <v>2032</v>
      </c>
      <c r="BG515" s="5" t="str">
        <f>""</f>
        <v/>
      </c>
      <c r="BH515" s="5" t="str">
        <f>"2,00"</f>
        <v>2,00</v>
      </c>
      <c r="BI515" s="5" t="str">
        <f>"2042"</f>
        <v>2042</v>
      </c>
      <c r="BJ515" s="5" t="str">
        <f t="shared" si="764"/>
        <v>нет</v>
      </c>
      <c r="BK515" s="5" t="str">
        <f>""</f>
        <v/>
      </c>
      <c r="BL515" s="5" t="str">
        <f>""</f>
        <v/>
      </c>
      <c r="BM515" s="5" t="str">
        <f>""</f>
        <v/>
      </c>
      <c r="BN515" s="5" t="str">
        <f t="shared" si="765"/>
        <v>нет</v>
      </c>
      <c r="BO515" s="5" t="str">
        <f>""</f>
        <v/>
      </c>
      <c r="BP515" s="5" t="str">
        <f>""</f>
        <v/>
      </c>
      <c r="BQ515" s="5" t="str">
        <f>""</f>
        <v/>
      </c>
      <c r="BR515" s="5" t="str">
        <f>"2005"</f>
        <v>2005</v>
      </c>
      <c r="BS515" s="5" t="str">
        <f>"25,00"</f>
        <v>25,00</v>
      </c>
      <c r="BT515" s="5" t="str">
        <f>"2017"</f>
        <v>2017</v>
      </c>
      <c r="BU515" s="5" t="str">
        <f t="shared" si="752"/>
        <v>нет</v>
      </c>
      <c r="BV515" s="5" t="str">
        <f t="shared" si="757"/>
        <v>x</v>
      </c>
      <c r="BW515" s="5" t="str">
        <f t="shared" si="757"/>
        <v>x</v>
      </c>
      <c r="BX515" s="5" t="str">
        <f t="shared" si="757"/>
        <v>x</v>
      </c>
      <c r="BY515" s="5" t="str">
        <f t="shared" si="766"/>
        <v>да</v>
      </c>
      <c r="BZ515" s="5" t="str">
        <f>""</f>
        <v/>
      </c>
      <c r="CA515" s="5" t="str">
        <f>"2,00"</f>
        <v>2,00</v>
      </c>
      <c r="CB515" s="5" t="str">
        <f>"2040"</f>
        <v>2040</v>
      </c>
      <c r="CC515" s="5" t="str">
        <f>""</f>
        <v/>
      </c>
      <c r="CD515" s="5" t="str">
        <f>"2,00"</f>
        <v>2,00</v>
      </c>
      <c r="CE515" s="5" t="str">
        <f>"2040"</f>
        <v>2040</v>
      </c>
      <c r="CF515" s="5" t="str">
        <f>""</f>
        <v/>
      </c>
      <c r="CG515" s="5" t="str">
        <f>"2,00"</f>
        <v>2,00</v>
      </c>
      <c r="CH515" s="5" t="str">
        <f>"2040"</f>
        <v>2040</v>
      </c>
      <c r="CI515" s="5" t="str">
        <f>"6,00"</f>
        <v>6,00</v>
      </c>
      <c r="CJ515" s="5" t="str">
        <f>"2032"</f>
        <v>2032</v>
      </c>
    </row>
    <row r="516" spans="1:88" ht="11.25" customHeight="1">
      <c r="A516" s="3" t="str">
        <f>"1.503"</f>
        <v>1.503</v>
      </c>
      <c r="B516" s="4" t="str">
        <f>"пгт. Вохтога, ул. Колхозная, д.58"</f>
        <v>пгт. Вохтога, ул. Колхозная, д.58</v>
      </c>
      <c r="C516" s="7" t="str">
        <f>"1993"</f>
        <v>1993</v>
      </c>
      <c r="D516" s="5" t="str">
        <f>""</f>
        <v/>
      </c>
      <c r="E516" s="5" t="str">
        <f>"15,00"</f>
        <v>15,00</v>
      </c>
      <c r="F516" s="5" t="str">
        <f t="shared" ref="F516:F521" si="767">"2020"</f>
        <v>2020</v>
      </c>
      <c r="G516" s="5" t="str">
        <f t="shared" ref="G516:G522" si="768">"да"</f>
        <v>да</v>
      </c>
      <c r="H516" s="5" t="str">
        <f t="shared" ref="H516:H522" si="769">"2010"</f>
        <v>2010</v>
      </c>
      <c r="I516" s="5" t="str">
        <f>"10,00"</f>
        <v>10,00</v>
      </c>
      <c r="J516" s="5" t="str">
        <f t="shared" ref="J516:J522" si="770">"2020"</f>
        <v>2020</v>
      </c>
      <c r="K516" s="5" t="str">
        <f t="shared" ref="K516:K522" si="771">"да"</f>
        <v>да</v>
      </c>
      <c r="L516" s="5" t="str">
        <f>""</f>
        <v/>
      </c>
      <c r="M516" s="5" t="str">
        <f>"10,00"</f>
        <v>10,00</v>
      </c>
      <c r="N516" s="5" t="str">
        <f t="shared" ref="N516:N522" si="772">"2020"</f>
        <v>2020</v>
      </c>
      <c r="O516" s="8" t="str">
        <f>""</f>
        <v/>
      </c>
      <c r="P516" s="5" t="str">
        <f>"15,00"</f>
        <v>15,00</v>
      </c>
      <c r="Q516" s="5" t="str">
        <f>"2015"</f>
        <v>2015</v>
      </c>
      <c r="R516" s="5" t="str">
        <f t="shared" si="760"/>
        <v>нет</v>
      </c>
      <c r="S516" s="5" t="str">
        <f>""</f>
        <v/>
      </c>
      <c r="T516" s="5" t="str">
        <f>""</f>
        <v/>
      </c>
      <c r="U516" s="5" t="str">
        <f>""</f>
        <v/>
      </c>
      <c r="V516" s="5" t="str">
        <f t="shared" si="761"/>
        <v>нет</v>
      </c>
      <c r="W516" s="5" t="str">
        <f>""</f>
        <v/>
      </c>
      <c r="X516" s="5" t="str">
        <f>""</f>
        <v/>
      </c>
      <c r="Y516" s="9" t="str">
        <f>""</f>
        <v/>
      </c>
      <c r="Z516" s="5" t="str">
        <f>""</f>
        <v/>
      </c>
      <c r="AA516" s="5" t="str">
        <f>"2,00"</f>
        <v>2,00</v>
      </c>
      <c r="AB516" s="5" t="str">
        <f>"2042"</f>
        <v>2042</v>
      </c>
      <c r="AC516" s="5" t="str">
        <f>"нет"</f>
        <v>нет</v>
      </c>
      <c r="AD516" s="5" t="str">
        <f>""</f>
        <v/>
      </c>
      <c r="AE516" s="5" t="str">
        <f>""</f>
        <v/>
      </c>
      <c r="AF516" s="5" t="str">
        <f>""</f>
        <v/>
      </c>
      <c r="AG516" s="5" t="str">
        <f>"нет"</f>
        <v>нет</v>
      </c>
      <c r="AH516" s="5" t="str">
        <f>""</f>
        <v/>
      </c>
      <c r="AI516" s="5" t="str">
        <f>""</f>
        <v/>
      </c>
      <c r="AJ516" s="5" t="str">
        <f>""</f>
        <v/>
      </c>
      <c r="AK516" s="8" t="str">
        <f>""</f>
        <v/>
      </c>
      <c r="AL516" s="5" t="str">
        <f>"25,00"</f>
        <v>25,00</v>
      </c>
      <c r="AM516" s="5" t="str">
        <f>"2026"</f>
        <v>2026</v>
      </c>
      <c r="AN516" s="5" t="str">
        <f t="shared" si="755"/>
        <v>нет</v>
      </c>
      <c r="AO516" s="5" t="str">
        <f>""</f>
        <v/>
      </c>
      <c r="AP516" s="5" t="str">
        <f>""</f>
        <v/>
      </c>
      <c r="AQ516" s="5" t="str">
        <f>""</f>
        <v/>
      </c>
      <c r="AR516" s="5" t="str">
        <f t="shared" si="756"/>
        <v>нет</v>
      </c>
      <c r="AS516" s="5" t="str">
        <f>""</f>
        <v/>
      </c>
      <c r="AT516" s="5" t="str">
        <f>""</f>
        <v/>
      </c>
      <c r="AU516" s="5" t="str">
        <f>""</f>
        <v/>
      </c>
      <c r="AV516" s="5" t="str">
        <f>""</f>
        <v/>
      </c>
      <c r="AW516" s="5" t="str">
        <f>"25,00"</f>
        <v>25,00</v>
      </c>
      <c r="AX516" s="5" t="str">
        <f>"2026"</f>
        <v>2026</v>
      </c>
      <c r="AY516" s="5" t="str">
        <f t="shared" si="762"/>
        <v>нет</v>
      </c>
      <c r="AZ516" s="5" t="str">
        <f>""</f>
        <v/>
      </c>
      <c r="BA516" s="5" t="str">
        <f>""</f>
        <v/>
      </c>
      <c r="BB516" s="5" t="str">
        <f>""</f>
        <v/>
      </c>
      <c r="BC516" s="5" t="str">
        <f t="shared" si="763"/>
        <v>да</v>
      </c>
      <c r="BD516" s="5" t="str">
        <f>""</f>
        <v/>
      </c>
      <c r="BE516" s="5" t="str">
        <f>"25,00"</f>
        <v>25,00</v>
      </c>
      <c r="BF516" s="5" t="str">
        <f>"2026"</f>
        <v>2026</v>
      </c>
      <c r="BG516" s="5" t="str">
        <f>""</f>
        <v/>
      </c>
      <c r="BH516" s="5" t="str">
        <f>"5,00"</f>
        <v>5,00</v>
      </c>
      <c r="BI516" s="5" t="str">
        <f>"2035"</f>
        <v>2035</v>
      </c>
      <c r="BJ516" s="5" t="str">
        <f t="shared" si="764"/>
        <v>нет</v>
      </c>
      <c r="BK516" s="5" t="str">
        <f>""</f>
        <v/>
      </c>
      <c r="BL516" s="5" t="str">
        <f>""</f>
        <v/>
      </c>
      <c r="BM516" s="5" t="str">
        <f>""</f>
        <v/>
      </c>
      <c r="BN516" s="5" t="str">
        <f t="shared" si="765"/>
        <v>нет</v>
      </c>
      <c r="BO516" s="5" t="str">
        <f>""</f>
        <v/>
      </c>
      <c r="BP516" s="5" t="str">
        <f>""</f>
        <v/>
      </c>
      <c r="BQ516" s="5" t="str">
        <f>""</f>
        <v/>
      </c>
      <c r="BR516" s="5" t="str">
        <f>"2010"</f>
        <v>2010</v>
      </c>
      <c r="BS516" s="5" t="str">
        <f>"5,00"</f>
        <v>5,00</v>
      </c>
      <c r="BT516" s="5" t="str">
        <f>"2035"</f>
        <v>2035</v>
      </c>
      <c r="BU516" s="5" t="str">
        <f t="shared" si="752"/>
        <v>нет</v>
      </c>
      <c r="BV516" s="5" t="str">
        <f t="shared" si="757"/>
        <v>x</v>
      </c>
      <c r="BW516" s="5" t="str">
        <f t="shared" si="757"/>
        <v>x</v>
      </c>
      <c r="BX516" s="5" t="str">
        <f t="shared" si="757"/>
        <v>x</v>
      </c>
      <c r="BY516" s="5" t="str">
        <f t="shared" si="766"/>
        <v>да</v>
      </c>
      <c r="BZ516" s="5" t="str">
        <f>""</f>
        <v/>
      </c>
      <c r="CA516" s="5" t="str">
        <f>"2,00"</f>
        <v>2,00</v>
      </c>
      <c r="CB516" s="5" t="str">
        <f>"2035"</f>
        <v>2035</v>
      </c>
      <c r="CC516" s="5" t="str">
        <f>""</f>
        <v/>
      </c>
      <c r="CD516" s="5" t="str">
        <f>"2,00"</f>
        <v>2,00</v>
      </c>
      <c r="CE516" s="5" t="str">
        <f>"2042"</f>
        <v>2042</v>
      </c>
      <c r="CF516" s="5" t="str">
        <f>""</f>
        <v/>
      </c>
      <c r="CG516" s="5" t="str">
        <f>"2,00"</f>
        <v>2,00</v>
      </c>
      <c r="CH516" s="5" t="str">
        <f>"2042"</f>
        <v>2042</v>
      </c>
      <c r="CI516" s="5" t="str">
        <f>"10,00"</f>
        <v>10,00</v>
      </c>
      <c r="CJ516" s="5" t="str">
        <f>"2042"</f>
        <v>2042</v>
      </c>
    </row>
    <row r="517" spans="1:88" ht="11.25" customHeight="1">
      <c r="A517" s="3" t="str">
        <f>"1.504"</f>
        <v>1.504</v>
      </c>
      <c r="B517" s="4" t="str">
        <f>"пгт. Вохтога, ул. Колхозная, д.60"</f>
        <v>пгт. Вохтога, ул. Колхозная, д.60</v>
      </c>
      <c r="C517" s="7" t="str">
        <f>"1991"</f>
        <v>1991</v>
      </c>
      <c r="D517" s="5" t="str">
        <f>""</f>
        <v/>
      </c>
      <c r="E517" s="5" t="str">
        <f>"15,00"</f>
        <v>15,00</v>
      </c>
      <c r="F517" s="5" t="str">
        <f t="shared" si="767"/>
        <v>2020</v>
      </c>
      <c r="G517" s="5" t="str">
        <f t="shared" si="768"/>
        <v>да</v>
      </c>
      <c r="H517" s="5" t="str">
        <f t="shared" si="769"/>
        <v>2010</v>
      </c>
      <c r="I517" s="5" t="str">
        <f>"15,00"</f>
        <v>15,00</v>
      </c>
      <c r="J517" s="5" t="str">
        <f t="shared" si="770"/>
        <v>2020</v>
      </c>
      <c r="K517" s="5" t="str">
        <f t="shared" si="771"/>
        <v>да</v>
      </c>
      <c r="L517" s="5" t="str">
        <f>""</f>
        <v/>
      </c>
      <c r="M517" s="5" t="str">
        <f>"15,00"</f>
        <v>15,00</v>
      </c>
      <c r="N517" s="5" t="str">
        <f t="shared" si="772"/>
        <v>2020</v>
      </c>
      <c r="O517" s="8" t="str">
        <f>""</f>
        <v/>
      </c>
      <c r="P517" s="5" t="str">
        <f>"10,00"</f>
        <v>10,00</v>
      </c>
      <c r="Q517" s="5" t="str">
        <f>"2015"</f>
        <v>2015</v>
      </c>
      <c r="R517" s="5" t="str">
        <f t="shared" si="760"/>
        <v>нет</v>
      </c>
      <c r="S517" s="5" t="str">
        <f>""</f>
        <v/>
      </c>
      <c r="T517" s="5" t="str">
        <f>""</f>
        <v/>
      </c>
      <c r="U517" s="5" t="str">
        <f>""</f>
        <v/>
      </c>
      <c r="V517" s="5" t="str">
        <f t="shared" si="761"/>
        <v>нет</v>
      </c>
      <c r="W517" s="5" t="str">
        <f>""</f>
        <v/>
      </c>
      <c r="X517" s="5" t="str">
        <f>""</f>
        <v/>
      </c>
      <c r="Y517" s="9" t="str">
        <f>""</f>
        <v/>
      </c>
      <c r="Z517" s="5" t="str">
        <f>""</f>
        <v/>
      </c>
      <c r="AA517" s="5" t="str">
        <f>"2,00"</f>
        <v>2,00</v>
      </c>
      <c r="AB517" s="5" t="str">
        <f>"2042"</f>
        <v>2042</v>
      </c>
      <c r="AC517" s="5" t="str">
        <f>"нет"</f>
        <v>нет</v>
      </c>
      <c r="AD517" s="5" t="str">
        <f>""</f>
        <v/>
      </c>
      <c r="AE517" s="5" t="str">
        <f>""</f>
        <v/>
      </c>
      <c r="AF517" s="5" t="str">
        <f>""</f>
        <v/>
      </c>
      <c r="AG517" s="5" t="str">
        <f>"нет"</f>
        <v>нет</v>
      </c>
      <c r="AH517" s="5" t="str">
        <f>""</f>
        <v/>
      </c>
      <c r="AI517" s="5" t="str">
        <f>""</f>
        <v/>
      </c>
      <c r="AJ517" s="5" t="str">
        <f>""</f>
        <v/>
      </c>
      <c r="AK517" s="8" t="str">
        <f>""</f>
        <v/>
      </c>
      <c r="AL517" s="5" t="str">
        <f>"10,00"</f>
        <v>10,00</v>
      </c>
      <c r="AM517" s="5" t="str">
        <f>"2030"</f>
        <v>2030</v>
      </c>
      <c r="AN517" s="5" t="str">
        <f t="shared" si="755"/>
        <v>нет</v>
      </c>
      <c r="AO517" s="5" t="str">
        <f>""</f>
        <v/>
      </c>
      <c r="AP517" s="5" t="str">
        <f>""</f>
        <v/>
      </c>
      <c r="AQ517" s="5" t="str">
        <f>""</f>
        <v/>
      </c>
      <c r="AR517" s="5" t="str">
        <f t="shared" si="756"/>
        <v>нет</v>
      </c>
      <c r="AS517" s="5" t="str">
        <f>""</f>
        <v/>
      </c>
      <c r="AT517" s="5" t="str">
        <f>""</f>
        <v/>
      </c>
      <c r="AU517" s="5" t="str">
        <f>""</f>
        <v/>
      </c>
      <c r="AV517" s="5" t="str">
        <f>""</f>
        <v/>
      </c>
      <c r="AW517" s="5" t="str">
        <f>"10,00"</f>
        <v>10,00</v>
      </c>
      <c r="AX517" s="5" t="str">
        <f>"2030"</f>
        <v>2030</v>
      </c>
      <c r="AY517" s="5" t="str">
        <f t="shared" si="762"/>
        <v>нет</v>
      </c>
      <c r="AZ517" s="5" t="str">
        <f>""</f>
        <v/>
      </c>
      <c r="BA517" s="5" t="str">
        <f>""</f>
        <v/>
      </c>
      <c r="BB517" s="5" t="str">
        <f>""</f>
        <v/>
      </c>
      <c r="BC517" s="5" t="str">
        <f t="shared" si="763"/>
        <v>да</v>
      </c>
      <c r="BD517" s="5" t="str">
        <f>""</f>
        <v/>
      </c>
      <c r="BE517" s="5" t="str">
        <f>"10,00"</f>
        <v>10,00</v>
      </c>
      <c r="BF517" s="5" t="str">
        <f>"2030"</f>
        <v>2030</v>
      </c>
      <c r="BG517" s="5" t="str">
        <f>""</f>
        <v/>
      </c>
      <c r="BH517" s="5" t="str">
        <f>"45,00"</f>
        <v>45,00</v>
      </c>
      <c r="BI517" s="5" t="str">
        <f>"2020"</f>
        <v>2020</v>
      </c>
      <c r="BJ517" s="5" t="str">
        <f t="shared" si="764"/>
        <v>нет</v>
      </c>
      <c r="BK517" s="5" t="str">
        <f>""</f>
        <v/>
      </c>
      <c r="BL517" s="5" t="str">
        <f>""</f>
        <v/>
      </c>
      <c r="BM517" s="5" t="str">
        <f>""</f>
        <v/>
      </c>
      <c r="BN517" s="5" t="str">
        <f t="shared" si="765"/>
        <v>нет</v>
      </c>
      <c r="BO517" s="5" t="str">
        <f>""</f>
        <v/>
      </c>
      <c r="BP517" s="5" t="str">
        <f>""</f>
        <v/>
      </c>
      <c r="BQ517" s="5" t="str">
        <f>""</f>
        <v/>
      </c>
      <c r="BR517" s="5" t="str">
        <f>""</f>
        <v/>
      </c>
      <c r="BS517" s="5" t="str">
        <f>"15,00"</f>
        <v>15,00</v>
      </c>
      <c r="BT517" s="5" t="str">
        <f>"2025"</f>
        <v>2025</v>
      </c>
      <c r="BU517" s="5" t="str">
        <f t="shared" si="752"/>
        <v>нет</v>
      </c>
      <c r="BV517" s="5" t="str">
        <f t="shared" si="757"/>
        <v>x</v>
      </c>
      <c r="BW517" s="5" t="str">
        <f t="shared" si="757"/>
        <v>x</v>
      </c>
      <c r="BX517" s="5" t="str">
        <f t="shared" si="757"/>
        <v>x</v>
      </c>
      <c r="BY517" s="5" t="str">
        <f t="shared" si="766"/>
        <v>да</v>
      </c>
      <c r="BZ517" s="5" t="str">
        <f>""</f>
        <v/>
      </c>
      <c r="CA517" s="5" t="str">
        <f>"5,00"</f>
        <v>5,00</v>
      </c>
      <c r="CB517" s="5" t="str">
        <f>"2043"</f>
        <v>2043</v>
      </c>
      <c r="CC517" s="5" t="str">
        <f>""</f>
        <v/>
      </c>
      <c r="CD517" s="5" t="str">
        <f>"5,00"</f>
        <v>5,00</v>
      </c>
      <c r="CE517" s="5" t="str">
        <f>"2043"</f>
        <v>2043</v>
      </c>
      <c r="CF517" s="5" t="str">
        <f>""</f>
        <v/>
      </c>
      <c r="CG517" s="5" t="str">
        <f>"5,00"</f>
        <v>5,00</v>
      </c>
      <c r="CH517" s="5" t="str">
        <f>"2043"</f>
        <v>2043</v>
      </c>
      <c r="CI517" s="5" t="str">
        <f>"10,00"</f>
        <v>10,00</v>
      </c>
      <c r="CJ517" s="5" t="str">
        <f>"2043"</f>
        <v>2043</v>
      </c>
    </row>
    <row r="518" spans="1:88" ht="11.25" customHeight="1">
      <c r="A518" s="3" t="str">
        <f>"1.505"</f>
        <v>1.505</v>
      </c>
      <c r="B518" s="4" t="str">
        <f>"пгт. Вохтога, ул. Колхозная, д.62"</f>
        <v>пгт. Вохтога, ул. Колхозная, д.62</v>
      </c>
      <c r="C518" s="7" t="str">
        <f>"1989"</f>
        <v>1989</v>
      </c>
      <c r="D518" s="5" t="str">
        <f>""</f>
        <v/>
      </c>
      <c r="E518" s="5" t="str">
        <f>"25,00"</f>
        <v>25,00</v>
      </c>
      <c r="F518" s="5" t="str">
        <f t="shared" si="767"/>
        <v>2020</v>
      </c>
      <c r="G518" s="5" t="str">
        <f t="shared" si="768"/>
        <v>да</v>
      </c>
      <c r="H518" s="5" t="str">
        <f t="shared" si="769"/>
        <v>2010</v>
      </c>
      <c r="I518" s="5" t="str">
        <f>"10,00"</f>
        <v>10,00</v>
      </c>
      <c r="J518" s="5" t="str">
        <f t="shared" si="770"/>
        <v>2020</v>
      </c>
      <c r="K518" s="5" t="str">
        <f t="shared" si="771"/>
        <v>да</v>
      </c>
      <c r="L518" s="5" t="str">
        <f>""</f>
        <v/>
      </c>
      <c r="M518" s="5" t="str">
        <f>"25,00"</f>
        <v>25,00</v>
      </c>
      <c r="N518" s="5" t="str">
        <f t="shared" si="772"/>
        <v>2020</v>
      </c>
      <c r="O518" s="8" t="str">
        <f>""</f>
        <v/>
      </c>
      <c r="P518" s="5" t="str">
        <f>"10,00"</f>
        <v>10,00</v>
      </c>
      <c r="Q518" s="5" t="str">
        <f>"2015"</f>
        <v>2015</v>
      </c>
      <c r="R518" s="5" t="str">
        <f t="shared" si="760"/>
        <v>нет</v>
      </c>
      <c r="S518" s="5" t="str">
        <f>""</f>
        <v/>
      </c>
      <c r="T518" s="5" t="str">
        <f>""</f>
        <v/>
      </c>
      <c r="U518" s="5" t="str">
        <f>""</f>
        <v/>
      </c>
      <c r="V518" s="5" t="str">
        <f t="shared" si="761"/>
        <v>нет</v>
      </c>
      <c r="W518" s="5" t="str">
        <f>""</f>
        <v/>
      </c>
      <c r="X518" s="5" t="str">
        <f>""</f>
        <v/>
      </c>
      <c r="Y518" s="9" t="str">
        <f>""</f>
        <v/>
      </c>
      <c r="Z518" s="5" t="str">
        <f>""</f>
        <v/>
      </c>
      <c r="AA518" s="5" t="str">
        <f>"2,00"</f>
        <v>2,00</v>
      </c>
      <c r="AB518" s="5" t="str">
        <f>"2042"</f>
        <v>2042</v>
      </c>
      <c r="AC518" s="5" t="str">
        <f>"нет"</f>
        <v>нет</v>
      </c>
      <c r="AD518" s="5" t="str">
        <f>""</f>
        <v/>
      </c>
      <c r="AE518" s="5" t="str">
        <f>""</f>
        <v/>
      </c>
      <c r="AF518" s="5" t="str">
        <f>""</f>
        <v/>
      </c>
      <c r="AG518" s="5" t="str">
        <f>"нет"</f>
        <v>нет</v>
      </c>
      <c r="AH518" s="5" t="str">
        <f>""</f>
        <v/>
      </c>
      <c r="AI518" s="5" t="str">
        <f>""</f>
        <v/>
      </c>
      <c r="AJ518" s="5" t="str">
        <f>""</f>
        <v/>
      </c>
      <c r="AK518" s="8" t="str">
        <f>""</f>
        <v/>
      </c>
      <c r="AL518" s="5" t="str">
        <f>"15,00"</f>
        <v>15,00</v>
      </c>
      <c r="AM518" s="5" t="str">
        <f>"2030"</f>
        <v>2030</v>
      </c>
      <c r="AN518" s="5" t="str">
        <f t="shared" si="755"/>
        <v>нет</v>
      </c>
      <c r="AO518" s="5" t="str">
        <f>""</f>
        <v/>
      </c>
      <c r="AP518" s="5" t="str">
        <f>""</f>
        <v/>
      </c>
      <c r="AQ518" s="5" t="str">
        <f>""</f>
        <v/>
      </c>
      <c r="AR518" s="5" t="str">
        <f t="shared" si="756"/>
        <v>нет</v>
      </c>
      <c r="AS518" s="5" t="str">
        <f>""</f>
        <v/>
      </c>
      <c r="AT518" s="5" t="str">
        <f>""</f>
        <v/>
      </c>
      <c r="AU518" s="5" t="str">
        <f>""</f>
        <v/>
      </c>
      <c r="AV518" s="5" t="str">
        <f>""</f>
        <v/>
      </c>
      <c r="AW518" s="5" t="str">
        <f>"15,00"</f>
        <v>15,00</v>
      </c>
      <c r="AX518" s="5" t="str">
        <f>"2030"</f>
        <v>2030</v>
      </c>
      <c r="AY518" s="5" t="str">
        <f t="shared" si="762"/>
        <v>нет</v>
      </c>
      <c r="AZ518" s="5" t="str">
        <f>""</f>
        <v/>
      </c>
      <c r="BA518" s="5" t="str">
        <f>""</f>
        <v/>
      </c>
      <c r="BB518" s="5" t="str">
        <f>""</f>
        <v/>
      </c>
      <c r="BC518" s="5" t="str">
        <f t="shared" si="763"/>
        <v>да</v>
      </c>
      <c r="BD518" s="5" t="str">
        <f>""</f>
        <v/>
      </c>
      <c r="BE518" s="5" t="str">
        <f>"15,00"</f>
        <v>15,00</v>
      </c>
      <c r="BF518" s="5" t="str">
        <f>"2030"</f>
        <v>2030</v>
      </c>
      <c r="BG518" s="5" t="str">
        <f>""</f>
        <v/>
      </c>
      <c r="BH518" s="5" t="str">
        <f>"5,00"</f>
        <v>5,00</v>
      </c>
      <c r="BI518" s="5" t="str">
        <f>"2042"</f>
        <v>2042</v>
      </c>
      <c r="BJ518" s="5" t="str">
        <f t="shared" si="764"/>
        <v>нет</v>
      </c>
      <c r="BK518" s="5" t="str">
        <f>""</f>
        <v/>
      </c>
      <c r="BL518" s="5" t="str">
        <f>""</f>
        <v/>
      </c>
      <c r="BM518" s="5" t="str">
        <f>""</f>
        <v/>
      </c>
      <c r="BN518" s="5" t="str">
        <f t="shared" si="765"/>
        <v>нет</v>
      </c>
      <c r="BO518" s="5" t="str">
        <f>""</f>
        <v/>
      </c>
      <c r="BP518" s="5" t="str">
        <f>""</f>
        <v/>
      </c>
      <c r="BQ518" s="5" t="str">
        <f>""</f>
        <v/>
      </c>
      <c r="BR518" s="5" t="str">
        <f>"2010"</f>
        <v>2010</v>
      </c>
      <c r="BS518" s="5" t="str">
        <f>"3,00"</f>
        <v>3,00</v>
      </c>
      <c r="BT518" s="5" t="str">
        <f>"2042"</f>
        <v>2042</v>
      </c>
      <c r="BU518" s="5" t="str">
        <f t="shared" si="752"/>
        <v>нет</v>
      </c>
      <c r="BV518" s="5" t="str">
        <f t="shared" si="757"/>
        <v>x</v>
      </c>
      <c r="BW518" s="5" t="str">
        <f t="shared" si="757"/>
        <v>x</v>
      </c>
      <c r="BX518" s="5" t="str">
        <f t="shared" si="757"/>
        <v>x</v>
      </c>
      <c r="BY518" s="5" t="str">
        <f t="shared" si="766"/>
        <v>да</v>
      </c>
      <c r="BZ518" s="5" t="str">
        <f>""</f>
        <v/>
      </c>
      <c r="CA518" s="5" t="str">
        <f>"2,00"</f>
        <v>2,00</v>
      </c>
      <c r="CB518" s="5" t="str">
        <f>"2042"</f>
        <v>2042</v>
      </c>
      <c r="CC518" s="5" t="str">
        <f>""</f>
        <v/>
      </c>
      <c r="CD518" s="5" t="str">
        <f>"2,00"</f>
        <v>2,00</v>
      </c>
      <c r="CE518" s="5" t="str">
        <f>"2042"</f>
        <v>2042</v>
      </c>
      <c r="CF518" s="5" t="str">
        <f>""</f>
        <v/>
      </c>
      <c r="CG518" s="5" t="str">
        <f>"2,00"</f>
        <v>2,00</v>
      </c>
      <c r="CH518" s="5" t="str">
        <f>"2042"</f>
        <v>2042</v>
      </c>
      <c r="CI518" s="5" t="str">
        <f>"10,00"</f>
        <v>10,00</v>
      </c>
      <c r="CJ518" s="5" t="str">
        <f>"2042"</f>
        <v>2042</v>
      </c>
    </row>
    <row r="519" spans="1:88" ht="11.25" customHeight="1">
      <c r="A519" s="3" t="str">
        <f>"1.506"</f>
        <v>1.506</v>
      </c>
      <c r="B519" s="4" t="str">
        <f>"пгт. Вохтога, ул. Колхозная, д.64"</f>
        <v>пгт. Вохтога, ул. Колхозная, д.64</v>
      </c>
      <c r="C519" s="7" t="str">
        <f>"1988"</f>
        <v>1988</v>
      </c>
      <c r="D519" s="5" t="str">
        <f>""</f>
        <v/>
      </c>
      <c r="E519" s="5" t="str">
        <f>"15,00"</f>
        <v>15,00</v>
      </c>
      <c r="F519" s="5" t="str">
        <f t="shared" si="767"/>
        <v>2020</v>
      </c>
      <c r="G519" s="5" t="str">
        <f t="shared" si="768"/>
        <v>да</v>
      </c>
      <c r="H519" s="5" t="str">
        <f t="shared" si="769"/>
        <v>2010</v>
      </c>
      <c r="I519" s="5" t="str">
        <f>"10,00"</f>
        <v>10,00</v>
      </c>
      <c r="J519" s="5" t="str">
        <f t="shared" si="770"/>
        <v>2020</v>
      </c>
      <c r="K519" s="5" t="str">
        <f t="shared" si="771"/>
        <v>да</v>
      </c>
      <c r="L519" s="5" t="str">
        <f>""</f>
        <v/>
      </c>
      <c r="M519" s="5" t="str">
        <f>"15,00"</f>
        <v>15,00</v>
      </c>
      <c r="N519" s="5" t="str">
        <f t="shared" si="772"/>
        <v>2020</v>
      </c>
      <c r="O519" s="8" t="str">
        <f>""</f>
        <v/>
      </c>
      <c r="P519" s="5" t="str">
        <f>"15,00"</f>
        <v>15,00</v>
      </c>
      <c r="Q519" s="5" t="str">
        <f>"2015"</f>
        <v>2015</v>
      </c>
      <c r="R519" s="5" t="str">
        <f t="shared" si="760"/>
        <v>нет</v>
      </c>
      <c r="S519" s="5" t="str">
        <f>""</f>
        <v/>
      </c>
      <c r="T519" s="5" t="str">
        <f>""</f>
        <v/>
      </c>
      <c r="U519" s="5" t="str">
        <f>""</f>
        <v/>
      </c>
      <c r="V519" s="5" t="str">
        <f t="shared" si="761"/>
        <v>нет</v>
      </c>
      <c r="W519" s="5" t="str">
        <f>""</f>
        <v/>
      </c>
      <c r="X519" s="5" t="str">
        <f>""</f>
        <v/>
      </c>
      <c r="Y519" s="9" t="str">
        <f>""</f>
        <v/>
      </c>
      <c r="Z519" s="5" t="str">
        <f>""</f>
        <v/>
      </c>
      <c r="AA519" s="5" t="str">
        <f>"2,00"</f>
        <v>2,00</v>
      </c>
      <c r="AB519" s="5" t="str">
        <f>"2042"</f>
        <v>2042</v>
      </c>
      <c r="AC519" s="5" t="str">
        <f>"нет"</f>
        <v>нет</v>
      </c>
      <c r="AD519" s="5" t="str">
        <f>""</f>
        <v/>
      </c>
      <c r="AE519" s="5" t="str">
        <f>""</f>
        <v/>
      </c>
      <c r="AF519" s="5" t="str">
        <f>""</f>
        <v/>
      </c>
      <c r="AG519" s="5" t="str">
        <f>"нет"</f>
        <v>нет</v>
      </c>
      <c r="AH519" s="5" t="str">
        <f>""</f>
        <v/>
      </c>
      <c r="AI519" s="5" t="str">
        <f>""</f>
        <v/>
      </c>
      <c r="AJ519" s="5" t="str">
        <f>""</f>
        <v/>
      </c>
      <c r="AK519" s="8" t="str">
        <f>""</f>
        <v/>
      </c>
      <c r="AL519" s="5" t="str">
        <f>"10,00"</f>
        <v>10,00</v>
      </c>
      <c r="AM519" s="5" t="str">
        <f>"2030"</f>
        <v>2030</v>
      </c>
      <c r="AN519" s="5" t="str">
        <f t="shared" si="755"/>
        <v>нет</v>
      </c>
      <c r="AO519" s="5" t="str">
        <f>""</f>
        <v/>
      </c>
      <c r="AP519" s="5" t="str">
        <f>""</f>
        <v/>
      </c>
      <c r="AQ519" s="5" t="str">
        <f>""</f>
        <v/>
      </c>
      <c r="AR519" s="5" t="str">
        <f t="shared" si="756"/>
        <v>нет</v>
      </c>
      <c r="AS519" s="5" t="str">
        <f>""</f>
        <v/>
      </c>
      <c r="AT519" s="5" t="str">
        <f>""</f>
        <v/>
      </c>
      <c r="AU519" s="5" t="str">
        <f>""</f>
        <v/>
      </c>
      <c r="AV519" s="5" t="str">
        <f>""</f>
        <v/>
      </c>
      <c r="AW519" s="5" t="str">
        <f>"10,00"</f>
        <v>10,00</v>
      </c>
      <c r="AX519" s="5" t="str">
        <f>"2030"</f>
        <v>2030</v>
      </c>
      <c r="AY519" s="5" t="str">
        <f t="shared" si="762"/>
        <v>нет</v>
      </c>
      <c r="AZ519" s="5" t="str">
        <f>""</f>
        <v/>
      </c>
      <c r="BA519" s="5" t="str">
        <f>""</f>
        <v/>
      </c>
      <c r="BB519" s="5" t="str">
        <f>""</f>
        <v/>
      </c>
      <c r="BC519" s="5" t="str">
        <f t="shared" si="763"/>
        <v>да</v>
      </c>
      <c r="BD519" s="5" t="str">
        <f>""</f>
        <v/>
      </c>
      <c r="BE519" s="5" t="str">
        <f>"10,00"</f>
        <v>10,00</v>
      </c>
      <c r="BF519" s="5" t="str">
        <f>"2030"</f>
        <v>2030</v>
      </c>
      <c r="BG519" s="5" t="str">
        <f>""</f>
        <v/>
      </c>
      <c r="BH519" s="5" t="str">
        <f>"5,00"</f>
        <v>5,00</v>
      </c>
      <c r="BI519" s="5" t="str">
        <f>"2042"</f>
        <v>2042</v>
      </c>
      <c r="BJ519" s="5" t="str">
        <f t="shared" si="764"/>
        <v>нет</v>
      </c>
      <c r="BK519" s="5" t="str">
        <f>""</f>
        <v/>
      </c>
      <c r="BL519" s="5" t="str">
        <f>""</f>
        <v/>
      </c>
      <c r="BM519" s="5" t="str">
        <f>""</f>
        <v/>
      </c>
      <c r="BN519" s="5" t="str">
        <f t="shared" si="765"/>
        <v>нет</v>
      </c>
      <c r="BO519" s="5" t="str">
        <f>""</f>
        <v/>
      </c>
      <c r="BP519" s="5" t="str">
        <f>""</f>
        <v/>
      </c>
      <c r="BQ519" s="5" t="str">
        <f>""</f>
        <v/>
      </c>
      <c r="BR519" s="5" t="str">
        <f>""</f>
        <v/>
      </c>
      <c r="BS519" s="5" t="str">
        <f>"15,00"</f>
        <v>15,00</v>
      </c>
      <c r="BT519" s="5" t="str">
        <f>"2030"</f>
        <v>2030</v>
      </c>
      <c r="BU519" s="5" t="str">
        <f t="shared" si="752"/>
        <v>нет</v>
      </c>
      <c r="BV519" s="5" t="str">
        <f t="shared" si="757"/>
        <v>x</v>
      </c>
      <c r="BW519" s="5" t="str">
        <f t="shared" si="757"/>
        <v>x</v>
      </c>
      <c r="BX519" s="5" t="str">
        <f t="shared" si="757"/>
        <v>x</v>
      </c>
      <c r="BY519" s="5" t="str">
        <f t="shared" si="766"/>
        <v>да</v>
      </c>
      <c r="BZ519" s="5" t="str">
        <f>""</f>
        <v/>
      </c>
      <c r="CA519" s="5" t="str">
        <f>"10,00"</f>
        <v>10,00</v>
      </c>
      <c r="CB519" s="5" t="str">
        <f>"2042"</f>
        <v>2042</v>
      </c>
      <c r="CC519" s="5" t="str">
        <f>""</f>
        <v/>
      </c>
      <c r="CD519" s="5" t="str">
        <f>"10,00"</f>
        <v>10,00</v>
      </c>
      <c r="CE519" s="5" t="str">
        <f>"2042"</f>
        <v>2042</v>
      </c>
      <c r="CF519" s="5" t="str">
        <f>""</f>
        <v/>
      </c>
      <c r="CG519" s="5" t="str">
        <f>"2,00"</f>
        <v>2,00</v>
      </c>
      <c r="CH519" s="5" t="str">
        <f>"2042"</f>
        <v>2042</v>
      </c>
      <c r="CI519" s="5" t="str">
        <f>"10,00"</f>
        <v>10,00</v>
      </c>
      <c r="CJ519" s="5" t="str">
        <f>"2042"</f>
        <v>2042</v>
      </c>
    </row>
    <row r="520" spans="1:88" ht="11.25" customHeight="1">
      <c r="A520" s="3" t="str">
        <f>"1.507"</f>
        <v>1.507</v>
      </c>
      <c r="B520" s="4" t="str">
        <f>"пгт. Вохтога, ул. Колхозная, д.66"</f>
        <v>пгт. Вохтога, ул. Колхозная, д.66</v>
      </c>
      <c r="C520" s="7" t="str">
        <f>"1978"</f>
        <v>1978</v>
      </c>
      <c r="D520" s="5" t="str">
        <f>""</f>
        <v/>
      </c>
      <c r="E520" s="5" t="str">
        <f>"65,00"</f>
        <v>65,00</v>
      </c>
      <c r="F520" s="5" t="str">
        <f t="shared" si="767"/>
        <v>2020</v>
      </c>
      <c r="G520" s="5" t="str">
        <f t="shared" si="768"/>
        <v>да</v>
      </c>
      <c r="H520" s="5" t="str">
        <f t="shared" si="769"/>
        <v>2010</v>
      </c>
      <c r="I520" s="5" t="str">
        <f>"15,00"</f>
        <v>15,00</v>
      </c>
      <c r="J520" s="5" t="str">
        <f t="shared" si="770"/>
        <v>2020</v>
      </c>
      <c r="K520" s="5" t="str">
        <f t="shared" si="771"/>
        <v>да</v>
      </c>
      <c r="L520" s="5" t="str">
        <f>""</f>
        <v/>
      </c>
      <c r="M520" s="5" t="str">
        <f>"65,00"</f>
        <v>65,00</v>
      </c>
      <c r="N520" s="5" t="str">
        <f t="shared" si="772"/>
        <v>2020</v>
      </c>
      <c r="O520" s="8" t="str">
        <f>""</f>
        <v/>
      </c>
      <c r="P520" s="5" t="str">
        <f>"40,00"</f>
        <v>40,00</v>
      </c>
      <c r="Q520" s="5" t="str">
        <f>"2019"</f>
        <v>2019</v>
      </c>
      <c r="R520" s="5" t="str">
        <f>"да"</f>
        <v>да</v>
      </c>
      <c r="S520" s="5" t="str">
        <f>"2013"</f>
        <v>2013</v>
      </c>
      <c r="T520" s="5" t="str">
        <f>"0,00"</f>
        <v>0,00</v>
      </c>
      <c r="U520" s="5" t="str">
        <f>"2019"</f>
        <v>2019</v>
      </c>
      <c r="V520" s="5" t="str">
        <f t="shared" si="761"/>
        <v>нет</v>
      </c>
      <c r="W520" s="5" t="str">
        <f>""</f>
        <v/>
      </c>
      <c r="X520" s="5" t="str">
        <f>""</f>
        <v/>
      </c>
      <c r="Y520" s="9" t="str">
        <f>""</f>
        <v/>
      </c>
      <c r="Z520" s="5" t="str">
        <f t="shared" ref="Z520:AJ520" si="773">"х"</f>
        <v>х</v>
      </c>
      <c r="AA520" s="5" t="str">
        <f t="shared" si="773"/>
        <v>х</v>
      </c>
      <c r="AB520" s="5" t="str">
        <f t="shared" si="773"/>
        <v>х</v>
      </c>
      <c r="AC520" s="5" t="str">
        <f t="shared" si="773"/>
        <v>х</v>
      </c>
      <c r="AD520" s="5" t="str">
        <f t="shared" si="773"/>
        <v>х</v>
      </c>
      <c r="AE520" s="5" t="str">
        <f t="shared" si="773"/>
        <v>х</v>
      </c>
      <c r="AF520" s="5" t="str">
        <f t="shared" si="773"/>
        <v>х</v>
      </c>
      <c r="AG520" s="5" t="str">
        <f t="shared" si="773"/>
        <v>х</v>
      </c>
      <c r="AH520" s="5" t="str">
        <f t="shared" si="773"/>
        <v>х</v>
      </c>
      <c r="AI520" s="5" t="str">
        <f t="shared" si="773"/>
        <v>х</v>
      </c>
      <c r="AJ520" s="5" t="str">
        <f t="shared" si="773"/>
        <v>х</v>
      </c>
      <c r="AK520" s="8" t="str">
        <f>""</f>
        <v/>
      </c>
      <c r="AL520" s="5" t="str">
        <f>"40,00"</f>
        <v>40,00</v>
      </c>
      <c r="AM520" s="5" t="str">
        <f>"2021"</f>
        <v>2021</v>
      </c>
      <c r="AN520" s="5" t="str">
        <f t="shared" si="755"/>
        <v>нет</v>
      </c>
      <c r="AO520" s="5" t="str">
        <f>""</f>
        <v/>
      </c>
      <c r="AP520" s="5" t="str">
        <f>""</f>
        <v/>
      </c>
      <c r="AQ520" s="5" t="str">
        <f>""</f>
        <v/>
      </c>
      <c r="AR520" s="5" t="str">
        <f t="shared" si="756"/>
        <v>нет</v>
      </c>
      <c r="AS520" s="5" t="str">
        <f>""</f>
        <v/>
      </c>
      <c r="AT520" s="5" t="str">
        <f>""</f>
        <v/>
      </c>
      <c r="AU520" s="5" t="str">
        <f>""</f>
        <v/>
      </c>
      <c r="AV520" s="5" t="str">
        <f>""</f>
        <v/>
      </c>
      <c r="AW520" s="5" t="str">
        <f>"40,00"</f>
        <v>40,00</v>
      </c>
      <c r="AX520" s="5" t="str">
        <f>"2021"</f>
        <v>2021</v>
      </c>
      <c r="AY520" s="5" t="str">
        <f t="shared" si="762"/>
        <v>нет</v>
      </c>
      <c r="AZ520" s="5" t="str">
        <f>""</f>
        <v/>
      </c>
      <c r="BA520" s="5" t="str">
        <f>""</f>
        <v/>
      </c>
      <c r="BB520" s="5" t="str">
        <f>""</f>
        <v/>
      </c>
      <c r="BC520" s="5" t="str">
        <f t="shared" si="763"/>
        <v>да</v>
      </c>
      <c r="BD520" s="5" t="str">
        <f>""</f>
        <v/>
      </c>
      <c r="BE520" s="5" t="str">
        <f>"55,00"</f>
        <v>55,00</v>
      </c>
      <c r="BF520" s="5" t="str">
        <f>"2021"</f>
        <v>2021</v>
      </c>
      <c r="BG520" s="5" t="str">
        <f>""</f>
        <v/>
      </c>
      <c r="BH520" s="5" t="str">
        <f>"55,00"</f>
        <v>55,00</v>
      </c>
      <c r="BI520" s="5" t="str">
        <f>"2021"</f>
        <v>2021</v>
      </c>
      <c r="BJ520" s="5" t="str">
        <f t="shared" si="764"/>
        <v>нет</v>
      </c>
      <c r="BK520" s="5" t="str">
        <f>""</f>
        <v/>
      </c>
      <c r="BL520" s="5" t="str">
        <f>""</f>
        <v/>
      </c>
      <c r="BM520" s="5" t="str">
        <f>""</f>
        <v/>
      </c>
      <c r="BN520" s="5" t="str">
        <f t="shared" si="765"/>
        <v>нет</v>
      </c>
      <c r="BO520" s="5" t="str">
        <f>""</f>
        <v/>
      </c>
      <c r="BP520" s="5" t="str">
        <f>""</f>
        <v/>
      </c>
      <c r="BQ520" s="5" t="str">
        <f>""</f>
        <v/>
      </c>
      <c r="BR520" s="5" t="str">
        <f>"2010"</f>
        <v>2010</v>
      </c>
      <c r="BS520" s="5" t="str">
        <f>"5,00"</f>
        <v>5,00</v>
      </c>
      <c r="BT520" s="5" t="str">
        <f>"2035"</f>
        <v>2035</v>
      </c>
      <c r="BU520" s="5" t="str">
        <f t="shared" si="752"/>
        <v>нет</v>
      </c>
      <c r="BV520" s="5" t="str">
        <f t="shared" ref="BV520:BX539" si="774">"x"</f>
        <v>x</v>
      </c>
      <c r="BW520" s="5" t="str">
        <f t="shared" si="774"/>
        <v>x</v>
      </c>
      <c r="BX520" s="5" t="str">
        <f t="shared" si="774"/>
        <v>x</v>
      </c>
      <c r="BY520" s="5" t="str">
        <f t="shared" si="766"/>
        <v>да</v>
      </c>
      <c r="BZ520" s="5" t="str">
        <f>""</f>
        <v/>
      </c>
      <c r="CA520" s="5" t="str">
        <f>"10,00"</f>
        <v>10,00</v>
      </c>
      <c r="CB520" s="5" t="str">
        <f>"2035"</f>
        <v>2035</v>
      </c>
      <c r="CC520" s="5" t="str">
        <f>""</f>
        <v/>
      </c>
      <c r="CD520" s="5" t="str">
        <f>"15,00"</f>
        <v>15,00</v>
      </c>
      <c r="CE520" s="5" t="str">
        <f>"2035"</f>
        <v>2035</v>
      </c>
      <c r="CF520" s="5" t="str">
        <f>""</f>
        <v/>
      </c>
      <c r="CG520" s="5" t="str">
        <f>"15,00"</f>
        <v>15,00</v>
      </c>
      <c r="CH520" s="5" t="str">
        <f>"2035"</f>
        <v>2035</v>
      </c>
      <c r="CI520" s="5" t="str">
        <f>"40,00"</f>
        <v>40,00</v>
      </c>
      <c r="CJ520" s="5" t="str">
        <f>"2035"</f>
        <v>2035</v>
      </c>
    </row>
    <row r="521" spans="1:88" ht="11.25" customHeight="1">
      <c r="A521" s="3" t="str">
        <f>"1.508"</f>
        <v>1.508</v>
      </c>
      <c r="B521" s="4" t="str">
        <f>"пгт. Вохтога, ул. Колхозная, д.68"</f>
        <v>пгт. Вохтога, ул. Колхозная, д.68</v>
      </c>
      <c r="C521" s="7" t="str">
        <f>"1980"</f>
        <v>1980</v>
      </c>
      <c r="D521" s="5" t="str">
        <f>""</f>
        <v/>
      </c>
      <c r="E521" s="5" t="str">
        <f>"35,00"</f>
        <v>35,00</v>
      </c>
      <c r="F521" s="5" t="str">
        <f t="shared" si="767"/>
        <v>2020</v>
      </c>
      <c r="G521" s="5" t="str">
        <f t="shared" si="768"/>
        <v>да</v>
      </c>
      <c r="H521" s="5" t="str">
        <f t="shared" si="769"/>
        <v>2010</v>
      </c>
      <c r="I521" s="5" t="str">
        <f>"10,00"</f>
        <v>10,00</v>
      </c>
      <c r="J521" s="5" t="str">
        <f t="shared" si="770"/>
        <v>2020</v>
      </c>
      <c r="K521" s="5" t="str">
        <f t="shared" si="771"/>
        <v>да</v>
      </c>
      <c r="L521" s="5" t="str">
        <f>""</f>
        <v/>
      </c>
      <c r="M521" s="5" t="str">
        <f>"35,00"</f>
        <v>35,00</v>
      </c>
      <c r="N521" s="5" t="str">
        <f t="shared" si="772"/>
        <v>2020</v>
      </c>
      <c r="O521" s="8" t="str">
        <f>""</f>
        <v/>
      </c>
      <c r="P521" s="5" t="str">
        <f>"30,00"</f>
        <v>30,00</v>
      </c>
      <c r="Q521" s="5" t="str">
        <f>"2015"</f>
        <v>2015</v>
      </c>
      <c r="R521" s="5" t="str">
        <f t="shared" ref="R521:R532" si="775">"нет"</f>
        <v>нет</v>
      </c>
      <c r="S521" s="5" t="str">
        <f>""</f>
        <v/>
      </c>
      <c r="T521" s="5" t="str">
        <f>""</f>
        <v/>
      </c>
      <c r="U521" s="5" t="str">
        <f>""</f>
        <v/>
      </c>
      <c r="V521" s="5" t="str">
        <f t="shared" si="761"/>
        <v>нет</v>
      </c>
      <c r="W521" s="5" t="str">
        <f>""</f>
        <v/>
      </c>
      <c r="X521" s="5" t="str">
        <f>""</f>
        <v/>
      </c>
      <c r="Y521" s="9" t="str">
        <f>""</f>
        <v/>
      </c>
      <c r="Z521" s="5" t="str">
        <f>""</f>
        <v/>
      </c>
      <c r="AA521" s="5" t="str">
        <f>"2,00"</f>
        <v>2,00</v>
      </c>
      <c r="AB521" s="5" t="str">
        <f>"2042"</f>
        <v>2042</v>
      </c>
      <c r="AC521" s="5" t="str">
        <f>"нет"</f>
        <v>нет</v>
      </c>
      <c r="AD521" s="5" t="str">
        <f>""</f>
        <v/>
      </c>
      <c r="AE521" s="5" t="str">
        <f>""</f>
        <v/>
      </c>
      <c r="AF521" s="5" t="str">
        <f>""</f>
        <v/>
      </c>
      <c r="AG521" s="5" t="str">
        <f>"нет"</f>
        <v>нет</v>
      </c>
      <c r="AH521" s="5" t="str">
        <f>""</f>
        <v/>
      </c>
      <c r="AI521" s="5" t="str">
        <f>""</f>
        <v/>
      </c>
      <c r="AJ521" s="5" t="str">
        <f>""</f>
        <v/>
      </c>
      <c r="AK521" s="8" t="str">
        <f>""</f>
        <v/>
      </c>
      <c r="AL521" s="5" t="str">
        <f>"25,00"</f>
        <v>25,00</v>
      </c>
      <c r="AM521" s="5" t="str">
        <f>"2029"</f>
        <v>2029</v>
      </c>
      <c r="AN521" s="5" t="str">
        <f t="shared" si="755"/>
        <v>нет</v>
      </c>
      <c r="AO521" s="5" t="str">
        <f>""</f>
        <v/>
      </c>
      <c r="AP521" s="5" t="str">
        <f>""</f>
        <v/>
      </c>
      <c r="AQ521" s="5" t="str">
        <f>""</f>
        <v/>
      </c>
      <c r="AR521" s="5" t="str">
        <f t="shared" si="756"/>
        <v>нет</v>
      </c>
      <c r="AS521" s="5" t="str">
        <f>""</f>
        <v/>
      </c>
      <c r="AT521" s="5" t="str">
        <f>""</f>
        <v/>
      </c>
      <c r="AU521" s="5" t="str">
        <f>""</f>
        <v/>
      </c>
      <c r="AV521" s="5" t="str">
        <f>""</f>
        <v/>
      </c>
      <c r="AW521" s="5" t="str">
        <f>"25,00"</f>
        <v>25,00</v>
      </c>
      <c r="AX521" s="5" t="str">
        <f>"2029"</f>
        <v>2029</v>
      </c>
      <c r="AY521" s="5" t="str">
        <f t="shared" si="762"/>
        <v>нет</v>
      </c>
      <c r="AZ521" s="5" t="str">
        <f>""</f>
        <v/>
      </c>
      <c r="BA521" s="5" t="str">
        <f>""</f>
        <v/>
      </c>
      <c r="BB521" s="5" t="str">
        <f>""</f>
        <v/>
      </c>
      <c r="BC521" s="5" t="str">
        <f t="shared" si="763"/>
        <v>да</v>
      </c>
      <c r="BD521" s="5" t="str">
        <f>""</f>
        <v/>
      </c>
      <c r="BE521" s="5" t="str">
        <f>"25,00"</f>
        <v>25,00</v>
      </c>
      <c r="BF521" s="5" t="str">
        <f>"2029"</f>
        <v>2029</v>
      </c>
      <c r="BG521" s="5" t="str">
        <f>""</f>
        <v/>
      </c>
      <c r="BH521" s="5" t="str">
        <f>"10,00"</f>
        <v>10,00</v>
      </c>
      <c r="BI521" s="5" t="str">
        <f>"2030"</f>
        <v>2030</v>
      </c>
      <c r="BJ521" s="5" t="str">
        <f t="shared" si="764"/>
        <v>нет</v>
      </c>
      <c r="BK521" s="5" t="str">
        <f>""</f>
        <v/>
      </c>
      <c r="BL521" s="5" t="str">
        <f>""</f>
        <v/>
      </c>
      <c r="BM521" s="5" t="str">
        <f>""</f>
        <v/>
      </c>
      <c r="BN521" s="5" t="str">
        <f t="shared" si="765"/>
        <v>нет</v>
      </c>
      <c r="BO521" s="5" t="str">
        <f>""</f>
        <v/>
      </c>
      <c r="BP521" s="5" t="str">
        <f>""</f>
        <v/>
      </c>
      <c r="BQ521" s="5" t="str">
        <f>""</f>
        <v/>
      </c>
      <c r="BR521" s="5" t="str">
        <f>"2010"</f>
        <v>2010</v>
      </c>
      <c r="BS521" s="5" t="str">
        <f>"3,00"</f>
        <v>3,00</v>
      </c>
      <c r="BT521" s="5" t="str">
        <f>"2035"</f>
        <v>2035</v>
      </c>
      <c r="BU521" s="5" t="str">
        <f t="shared" si="752"/>
        <v>нет</v>
      </c>
      <c r="BV521" s="5" t="str">
        <f t="shared" si="774"/>
        <v>x</v>
      </c>
      <c r="BW521" s="5" t="str">
        <f t="shared" si="774"/>
        <v>x</v>
      </c>
      <c r="BX521" s="5" t="str">
        <f t="shared" si="774"/>
        <v>x</v>
      </c>
      <c r="BY521" s="5" t="str">
        <f t="shared" si="766"/>
        <v>да</v>
      </c>
      <c r="BZ521" s="5" t="str">
        <f>""</f>
        <v/>
      </c>
      <c r="CA521" s="5" t="str">
        <f>"3,00"</f>
        <v>3,00</v>
      </c>
      <c r="CB521" s="5" t="str">
        <f>"2042"</f>
        <v>2042</v>
      </c>
      <c r="CC521" s="5" t="str">
        <f>""</f>
        <v/>
      </c>
      <c r="CD521" s="5" t="str">
        <f>"5,00"</f>
        <v>5,00</v>
      </c>
      <c r="CE521" s="5" t="str">
        <f>"2042"</f>
        <v>2042</v>
      </c>
      <c r="CF521" s="5" t="str">
        <f>""</f>
        <v/>
      </c>
      <c r="CG521" s="5" t="str">
        <f>"3,00"</f>
        <v>3,00</v>
      </c>
      <c r="CH521" s="5" t="str">
        <f>"2042"</f>
        <v>2042</v>
      </c>
      <c r="CI521" s="5" t="str">
        <f>"25,00"</f>
        <v>25,00</v>
      </c>
      <c r="CJ521" s="5" t="str">
        <f>"2042"</f>
        <v>2042</v>
      </c>
    </row>
    <row r="522" spans="1:88" ht="11.25" customHeight="1">
      <c r="A522" s="3" t="str">
        <f>"1.509"</f>
        <v>1.509</v>
      </c>
      <c r="B522" s="4" t="str">
        <f>"пгт. Вохтога, ул. Колхозная, д.87"</f>
        <v>пгт. Вохтога, ул. Колхозная, д.87</v>
      </c>
      <c r="C522" s="7" t="str">
        <f>"2004"</f>
        <v>2004</v>
      </c>
      <c r="D522" s="5" t="str">
        <f>""</f>
        <v/>
      </c>
      <c r="E522" s="5" t="str">
        <f>"5,00"</f>
        <v>5,00</v>
      </c>
      <c r="F522" s="5" t="str">
        <f>"2035"</f>
        <v>2035</v>
      </c>
      <c r="G522" s="5" t="str">
        <f t="shared" si="768"/>
        <v>да</v>
      </c>
      <c r="H522" s="5" t="str">
        <f t="shared" si="769"/>
        <v>2010</v>
      </c>
      <c r="I522" s="5" t="str">
        <f>"10,00"</f>
        <v>10,00</v>
      </c>
      <c r="J522" s="5" t="str">
        <f t="shared" si="770"/>
        <v>2020</v>
      </c>
      <c r="K522" s="5" t="str">
        <f t="shared" si="771"/>
        <v>да</v>
      </c>
      <c r="L522" s="5" t="str">
        <f>""</f>
        <v/>
      </c>
      <c r="M522" s="5" t="str">
        <f>"15,00"</f>
        <v>15,00</v>
      </c>
      <c r="N522" s="5" t="str">
        <f t="shared" si="772"/>
        <v>2020</v>
      </c>
      <c r="O522" s="8" t="str">
        <f>""</f>
        <v/>
      </c>
      <c r="P522" s="5" t="str">
        <f>"10,00"</f>
        <v>10,00</v>
      </c>
      <c r="Q522" s="5" t="str">
        <f>"2015"</f>
        <v>2015</v>
      </c>
      <c r="R522" s="5" t="str">
        <f t="shared" si="775"/>
        <v>нет</v>
      </c>
      <c r="S522" s="5" t="str">
        <f>""</f>
        <v/>
      </c>
      <c r="T522" s="5" t="str">
        <f>""</f>
        <v/>
      </c>
      <c r="U522" s="5" t="str">
        <f>""</f>
        <v/>
      </c>
      <c r="V522" s="5" t="str">
        <f t="shared" si="761"/>
        <v>нет</v>
      </c>
      <c r="W522" s="5" t="str">
        <f>""</f>
        <v/>
      </c>
      <c r="X522" s="5" t="str">
        <f>""</f>
        <v/>
      </c>
      <c r="Y522" s="9" t="str">
        <f>""</f>
        <v/>
      </c>
      <c r="Z522" s="5" t="str">
        <f>""</f>
        <v/>
      </c>
      <c r="AA522" s="5" t="str">
        <f>"2,00"</f>
        <v>2,00</v>
      </c>
      <c r="AB522" s="5" t="str">
        <f>"2040"</f>
        <v>2040</v>
      </c>
      <c r="AC522" s="5" t="str">
        <f>"нет"</f>
        <v>нет</v>
      </c>
      <c r="AD522" s="5" t="str">
        <f>""</f>
        <v/>
      </c>
      <c r="AE522" s="5" t="str">
        <f>""</f>
        <v/>
      </c>
      <c r="AF522" s="5" t="str">
        <f>""</f>
        <v/>
      </c>
      <c r="AG522" s="5" t="str">
        <f>"нет"</f>
        <v>нет</v>
      </c>
      <c r="AH522" s="5" t="str">
        <f>""</f>
        <v/>
      </c>
      <c r="AI522" s="5" t="str">
        <f>""</f>
        <v/>
      </c>
      <c r="AJ522" s="5" t="str">
        <f>""</f>
        <v/>
      </c>
      <c r="AK522" s="8" t="str">
        <f>""</f>
        <v/>
      </c>
      <c r="AL522" s="5" t="str">
        <f>"5,00"</f>
        <v>5,00</v>
      </c>
      <c r="AM522" s="5" t="str">
        <f>"2040"</f>
        <v>2040</v>
      </c>
      <c r="AN522" s="5" t="str">
        <f t="shared" si="755"/>
        <v>нет</v>
      </c>
      <c r="AO522" s="5" t="str">
        <f>""</f>
        <v/>
      </c>
      <c r="AP522" s="5" t="str">
        <f>""</f>
        <v/>
      </c>
      <c r="AQ522" s="5" t="str">
        <f>""</f>
        <v/>
      </c>
      <c r="AR522" s="5" t="str">
        <f t="shared" si="756"/>
        <v>нет</v>
      </c>
      <c r="AS522" s="5" t="str">
        <f>""</f>
        <v/>
      </c>
      <c r="AT522" s="5" t="str">
        <f>""</f>
        <v/>
      </c>
      <c r="AU522" s="5" t="str">
        <f>""</f>
        <v/>
      </c>
      <c r="AV522" s="5" t="str">
        <f>""</f>
        <v/>
      </c>
      <c r="AW522" s="5" t="str">
        <f>"5,00"</f>
        <v>5,00</v>
      </c>
      <c r="AX522" s="5" t="str">
        <f>"2040"</f>
        <v>2040</v>
      </c>
      <c r="AY522" s="5" t="str">
        <f t="shared" si="762"/>
        <v>нет</v>
      </c>
      <c r="AZ522" s="5" t="str">
        <f>""</f>
        <v/>
      </c>
      <c r="BA522" s="5" t="str">
        <f>""</f>
        <v/>
      </c>
      <c r="BB522" s="5" t="str">
        <f>""</f>
        <v/>
      </c>
      <c r="BC522" s="5" t="str">
        <f t="shared" si="763"/>
        <v>да</v>
      </c>
      <c r="BD522" s="5" t="str">
        <f>""</f>
        <v/>
      </c>
      <c r="BE522" s="5" t="str">
        <f>"5,00"</f>
        <v>5,00</v>
      </c>
      <c r="BF522" s="5" t="str">
        <f>"2040"</f>
        <v>2040</v>
      </c>
      <c r="BG522" s="5" t="str">
        <f>""</f>
        <v/>
      </c>
      <c r="BH522" s="5" t="str">
        <f>"5,00"</f>
        <v>5,00</v>
      </c>
      <c r="BI522" s="5" t="str">
        <f>"2040"</f>
        <v>2040</v>
      </c>
      <c r="BJ522" s="5" t="str">
        <f t="shared" si="764"/>
        <v>нет</v>
      </c>
      <c r="BK522" s="5" t="str">
        <f>""</f>
        <v/>
      </c>
      <c r="BL522" s="5" t="str">
        <f>""</f>
        <v/>
      </c>
      <c r="BM522" s="5" t="str">
        <f>""</f>
        <v/>
      </c>
      <c r="BN522" s="5" t="str">
        <f t="shared" si="765"/>
        <v>нет</v>
      </c>
      <c r="BO522" s="5" t="str">
        <f>""</f>
        <v/>
      </c>
      <c r="BP522" s="5" t="str">
        <f>""</f>
        <v/>
      </c>
      <c r="BQ522" s="5" t="str">
        <f>""</f>
        <v/>
      </c>
      <c r="BR522" s="5" t="str">
        <f>"2010"</f>
        <v>2010</v>
      </c>
      <c r="BS522" s="5" t="str">
        <f>"2,00"</f>
        <v>2,00</v>
      </c>
      <c r="BT522" s="5" t="str">
        <f>"2037"</f>
        <v>2037</v>
      </c>
      <c r="BU522" s="5" t="str">
        <f t="shared" si="752"/>
        <v>нет</v>
      </c>
      <c r="BV522" s="5" t="str">
        <f t="shared" si="774"/>
        <v>x</v>
      </c>
      <c r="BW522" s="5" t="str">
        <f t="shared" si="774"/>
        <v>x</v>
      </c>
      <c r="BX522" s="5" t="str">
        <f t="shared" si="774"/>
        <v>x</v>
      </c>
      <c r="BY522" s="5" t="str">
        <f t="shared" si="766"/>
        <v>да</v>
      </c>
      <c r="BZ522" s="5" t="str">
        <f>""</f>
        <v/>
      </c>
      <c r="CA522" s="5" t="str">
        <f>"2,00"</f>
        <v>2,00</v>
      </c>
      <c r="CB522" s="5" t="str">
        <f>"2040"</f>
        <v>2040</v>
      </c>
      <c r="CC522" s="5" t="str">
        <f>""</f>
        <v/>
      </c>
      <c r="CD522" s="5" t="str">
        <f>"2,00"</f>
        <v>2,00</v>
      </c>
      <c r="CE522" s="5" t="str">
        <f>"2040"</f>
        <v>2040</v>
      </c>
      <c r="CF522" s="5" t="str">
        <f>""</f>
        <v/>
      </c>
      <c r="CG522" s="5" t="str">
        <f>"1,00"</f>
        <v>1,00</v>
      </c>
      <c r="CH522" s="5" t="str">
        <f>"2040"</f>
        <v>2040</v>
      </c>
      <c r="CI522" s="5" t="str">
        <f>"3,00"</f>
        <v>3,00</v>
      </c>
      <c r="CJ522" s="5" t="str">
        <f>"2040"</f>
        <v>2040</v>
      </c>
    </row>
    <row r="523" spans="1:88" ht="11.25" customHeight="1">
      <c r="A523" s="3" t="str">
        <f>"1.510"</f>
        <v>1.510</v>
      </c>
      <c r="B523" s="4" t="str">
        <f>"пгт. Вохтога, ул. Комсомольская, д.2"</f>
        <v>пгт. Вохтога, ул. Комсомольская, д.2</v>
      </c>
      <c r="C523" s="7" t="str">
        <f>"1981"</f>
        <v>1981</v>
      </c>
      <c r="D523" s="5" t="str">
        <f>""</f>
        <v/>
      </c>
      <c r="E523" s="5" t="str">
        <f>"15,00"</f>
        <v>15,00</v>
      </c>
      <c r="F523" s="5" t="str">
        <f>"2031"</f>
        <v>2031</v>
      </c>
      <c r="G523" s="5" t="str">
        <f t="shared" ref="G523:G531" si="776">"нет"</f>
        <v>нет</v>
      </c>
      <c r="H523" s="5" t="str">
        <f>""</f>
        <v/>
      </c>
      <c r="I523" s="5" t="str">
        <f>""</f>
        <v/>
      </c>
      <c r="J523" s="5" t="str">
        <f>""</f>
        <v/>
      </c>
      <c r="K523" s="5" t="str">
        <f t="shared" ref="K523:K531" si="777">"нет"</f>
        <v>нет</v>
      </c>
      <c r="L523" s="5" t="str">
        <f>""</f>
        <v/>
      </c>
      <c r="M523" s="5" t="str">
        <f>""</f>
        <v/>
      </c>
      <c r="N523" s="5" t="str">
        <f>""</f>
        <v/>
      </c>
      <c r="O523" s="8" t="str">
        <f>""</f>
        <v/>
      </c>
      <c r="P523" s="5" t="str">
        <f>"26,00"</f>
        <v>26,00</v>
      </c>
      <c r="Q523" s="5" t="str">
        <f>"2031"</f>
        <v>2031</v>
      </c>
      <c r="R523" s="5" t="str">
        <f t="shared" si="775"/>
        <v>нет</v>
      </c>
      <c r="S523" s="5" t="str">
        <f>""</f>
        <v/>
      </c>
      <c r="T523" s="5" t="str">
        <f>""</f>
        <v/>
      </c>
      <c r="U523" s="5" t="str">
        <f>""</f>
        <v/>
      </c>
      <c r="V523" s="5" t="str">
        <f t="shared" si="761"/>
        <v>нет</v>
      </c>
      <c r="W523" s="5" t="str">
        <f>""</f>
        <v/>
      </c>
      <c r="X523" s="5" t="str">
        <f>""</f>
        <v/>
      </c>
      <c r="Y523" s="9" t="str">
        <f>""</f>
        <v/>
      </c>
      <c r="Z523" s="5" t="str">
        <f>""</f>
        <v/>
      </c>
      <c r="AA523" s="5" t="str">
        <f>""</f>
        <v/>
      </c>
      <c r="AB523" s="5" t="str">
        <f>""</f>
        <v/>
      </c>
      <c r="AC523" s="5" t="str">
        <f>""</f>
        <v/>
      </c>
      <c r="AD523" s="5" t="str">
        <f>""</f>
        <v/>
      </c>
      <c r="AE523" s="5" t="str">
        <f>""</f>
        <v/>
      </c>
      <c r="AF523" s="5" t="str">
        <f>""</f>
        <v/>
      </c>
      <c r="AG523" s="5" t="str">
        <f>""</f>
        <v/>
      </c>
      <c r="AH523" s="5" t="str">
        <f>""</f>
        <v/>
      </c>
      <c r="AI523" s="5" t="str">
        <f>""</f>
        <v/>
      </c>
      <c r="AJ523" s="5" t="str">
        <f>""</f>
        <v/>
      </c>
      <c r="AK523" s="8" t="str">
        <f>""</f>
        <v/>
      </c>
      <c r="AL523" s="5" t="str">
        <f>"20,00"</f>
        <v>20,00</v>
      </c>
      <c r="AM523" s="5" t="str">
        <f>"2035"</f>
        <v>2035</v>
      </c>
      <c r="AN523" s="5" t="str">
        <f t="shared" si="755"/>
        <v>нет</v>
      </c>
      <c r="AO523" s="5" t="str">
        <f>""</f>
        <v/>
      </c>
      <c r="AP523" s="5" t="str">
        <f>""</f>
        <v/>
      </c>
      <c r="AQ523" s="5" t="str">
        <f>""</f>
        <v/>
      </c>
      <c r="AR523" s="5" t="str">
        <f t="shared" si="756"/>
        <v>нет</v>
      </c>
      <c r="AS523" s="5" t="str">
        <f>""</f>
        <v/>
      </c>
      <c r="AT523" s="5" t="str">
        <f>""</f>
        <v/>
      </c>
      <c r="AU523" s="5" t="str">
        <f>""</f>
        <v/>
      </c>
      <c r="AV523" s="5" t="str">
        <f t="shared" ref="AV523:BF532" si="778">"х"</f>
        <v>х</v>
      </c>
      <c r="AW523" s="5" t="str">
        <f t="shared" si="778"/>
        <v>х</v>
      </c>
      <c r="AX523" s="5" t="str">
        <f t="shared" si="778"/>
        <v>х</v>
      </c>
      <c r="AY523" s="5" t="str">
        <f t="shared" si="778"/>
        <v>х</v>
      </c>
      <c r="AZ523" s="5" t="str">
        <f t="shared" si="778"/>
        <v>х</v>
      </c>
      <c r="BA523" s="5" t="str">
        <f t="shared" si="778"/>
        <v>х</v>
      </c>
      <c r="BB523" s="5" t="str">
        <f t="shared" si="778"/>
        <v>х</v>
      </c>
      <c r="BC523" s="5" t="str">
        <f t="shared" si="778"/>
        <v>х</v>
      </c>
      <c r="BD523" s="5" t="str">
        <f t="shared" si="778"/>
        <v>х</v>
      </c>
      <c r="BE523" s="5" t="str">
        <f t="shared" si="778"/>
        <v>х</v>
      </c>
      <c r="BF523" s="5" t="str">
        <f t="shared" si="778"/>
        <v>х</v>
      </c>
      <c r="BG523" s="5" t="str">
        <f>""</f>
        <v/>
      </c>
      <c r="BH523" s="5" t="str">
        <f>"10,00"</f>
        <v>10,00</v>
      </c>
      <c r="BI523" s="5" t="str">
        <f>"2035"</f>
        <v>2035</v>
      </c>
      <c r="BJ523" s="5" t="str">
        <f t="shared" si="764"/>
        <v>нет</v>
      </c>
      <c r="BK523" s="5" t="str">
        <f>""</f>
        <v/>
      </c>
      <c r="BL523" s="5" t="str">
        <f>""</f>
        <v/>
      </c>
      <c r="BM523" s="5" t="str">
        <f>""</f>
        <v/>
      </c>
      <c r="BN523" s="5" t="str">
        <f t="shared" si="765"/>
        <v>нет</v>
      </c>
      <c r="BO523" s="5" t="str">
        <f>""</f>
        <v/>
      </c>
      <c r="BP523" s="5" t="str">
        <f>""</f>
        <v/>
      </c>
      <c r="BQ523" s="5" t="str">
        <f>""</f>
        <v/>
      </c>
      <c r="BR523" s="5" t="str">
        <f>""</f>
        <v/>
      </c>
      <c r="BS523" s="5" t="str">
        <f>"36,00"</f>
        <v>36,00</v>
      </c>
      <c r="BT523" s="5" t="str">
        <f>"2018"</f>
        <v>2018</v>
      </c>
      <c r="BU523" s="5" t="str">
        <f t="shared" si="752"/>
        <v>нет</v>
      </c>
      <c r="BV523" s="5" t="str">
        <f t="shared" si="774"/>
        <v>x</v>
      </c>
      <c r="BW523" s="5" t="str">
        <f t="shared" si="774"/>
        <v>x</v>
      </c>
      <c r="BX523" s="5" t="str">
        <f t="shared" si="774"/>
        <v>x</v>
      </c>
      <c r="BY523" s="5" t="str">
        <f t="shared" ref="BY523:BY532" si="779">"нет"</f>
        <v>нет</v>
      </c>
      <c r="BZ523" s="5" t="str">
        <f t="shared" ref="BZ523:CB532" si="780">"x"</f>
        <v>x</v>
      </c>
      <c r="CA523" s="5" t="str">
        <f t="shared" si="780"/>
        <v>x</v>
      </c>
      <c r="CB523" s="5" t="str">
        <f t="shared" si="780"/>
        <v>x</v>
      </c>
      <c r="CC523" s="5" t="str">
        <f>""</f>
        <v/>
      </c>
      <c r="CD523" s="5" t="str">
        <f>"26,00"</f>
        <v>26,00</v>
      </c>
      <c r="CE523" s="5" t="str">
        <f>"2031"</f>
        <v>2031</v>
      </c>
      <c r="CF523" s="5" t="str">
        <f>""</f>
        <v/>
      </c>
      <c r="CG523" s="5" t="str">
        <f>"28,00"</f>
        <v>28,00</v>
      </c>
      <c r="CH523" s="5" t="str">
        <f>"2031"</f>
        <v>2031</v>
      </c>
      <c r="CI523" s="5" t="str">
        <f>"36,00"</f>
        <v>36,00</v>
      </c>
      <c r="CJ523" s="5" t="str">
        <f>"2031"</f>
        <v>2031</v>
      </c>
    </row>
    <row r="524" spans="1:88" ht="11.25" customHeight="1">
      <c r="A524" s="3" t="str">
        <f>"1.511"</f>
        <v>1.511</v>
      </c>
      <c r="B524" s="4" t="str">
        <f>"пгт. Вохтога, ул. Ленина, д.10А"</f>
        <v>пгт. Вохтога, ул. Ленина, д.10А</v>
      </c>
      <c r="C524" s="7" t="str">
        <f t="shared" ref="C524:C529" si="781">"1970"</f>
        <v>1970</v>
      </c>
      <c r="D524" s="5" t="str">
        <f>""</f>
        <v/>
      </c>
      <c r="E524" s="5" t="str">
        <f>"25,00"</f>
        <v>25,00</v>
      </c>
      <c r="F524" s="5" t="str">
        <f>"2035"</f>
        <v>2035</v>
      </c>
      <c r="G524" s="5" t="str">
        <f t="shared" si="776"/>
        <v>нет</v>
      </c>
      <c r="H524" s="5" t="str">
        <f>""</f>
        <v/>
      </c>
      <c r="I524" s="5" t="str">
        <f>""</f>
        <v/>
      </c>
      <c r="J524" s="5" t="str">
        <f>""</f>
        <v/>
      </c>
      <c r="K524" s="5" t="str">
        <f t="shared" si="777"/>
        <v>нет</v>
      </c>
      <c r="L524" s="5" t="str">
        <f>""</f>
        <v/>
      </c>
      <c r="M524" s="5" t="str">
        <f>""</f>
        <v/>
      </c>
      <c r="N524" s="5" t="str">
        <f>""</f>
        <v/>
      </c>
      <c r="O524" s="8" t="str">
        <f>""</f>
        <v/>
      </c>
      <c r="P524" s="5" t="str">
        <f>"46,00"</f>
        <v>46,00</v>
      </c>
      <c r="Q524" s="5" t="str">
        <f>"2020"</f>
        <v>2020</v>
      </c>
      <c r="R524" s="5" t="str">
        <f t="shared" si="775"/>
        <v>нет</v>
      </c>
      <c r="S524" s="5" t="str">
        <f>""</f>
        <v/>
      </c>
      <c r="T524" s="5" t="str">
        <f>""</f>
        <v/>
      </c>
      <c r="U524" s="5" t="str">
        <f>""</f>
        <v/>
      </c>
      <c r="V524" s="5" t="str">
        <f t="shared" si="761"/>
        <v>нет</v>
      </c>
      <c r="W524" s="5" t="str">
        <f>""</f>
        <v/>
      </c>
      <c r="X524" s="5" t="str">
        <f>""</f>
        <v/>
      </c>
      <c r="Y524" s="9" t="str">
        <f>""</f>
        <v/>
      </c>
      <c r="Z524" s="5" t="str">
        <f>""</f>
        <v/>
      </c>
      <c r="AA524" s="5" t="str">
        <f>""</f>
        <v/>
      </c>
      <c r="AB524" s="5" t="str">
        <f>""</f>
        <v/>
      </c>
      <c r="AC524" s="5" t="str">
        <f>""</f>
        <v/>
      </c>
      <c r="AD524" s="5" t="str">
        <f>""</f>
        <v/>
      </c>
      <c r="AE524" s="5" t="str">
        <f>""</f>
        <v/>
      </c>
      <c r="AF524" s="5" t="str">
        <f>""</f>
        <v/>
      </c>
      <c r="AG524" s="5" t="str">
        <f>""</f>
        <v/>
      </c>
      <c r="AH524" s="5" t="str">
        <f>""</f>
        <v/>
      </c>
      <c r="AI524" s="5" t="str">
        <f>""</f>
        <v/>
      </c>
      <c r="AJ524" s="5" t="str">
        <f>""</f>
        <v/>
      </c>
      <c r="AK524" s="8" t="str">
        <f>""</f>
        <v/>
      </c>
      <c r="AL524" s="5" t="str">
        <f>"46,00"</f>
        <v>46,00</v>
      </c>
      <c r="AM524" s="5" t="str">
        <f>"2030"</f>
        <v>2030</v>
      </c>
      <c r="AN524" s="5" t="str">
        <f t="shared" si="755"/>
        <v>нет</v>
      </c>
      <c r="AO524" s="5" t="str">
        <f>""</f>
        <v/>
      </c>
      <c r="AP524" s="5" t="str">
        <f>""</f>
        <v/>
      </c>
      <c r="AQ524" s="5" t="str">
        <f>""</f>
        <v/>
      </c>
      <c r="AR524" s="5" t="str">
        <f t="shared" si="756"/>
        <v>нет</v>
      </c>
      <c r="AS524" s="5" t="str">
        <f>""</f>
        <v/>
      </c>
      <c r="AT524" s="5" t="str">
        <f>""</f>
        <v/>
      </c>
      <c r="AU524" s="5" t="str">
        <f>""</f>
        <v/>
      </c>
      <c r="AV524" s="5" t="str">
        <f t="shared" si="778"/>
        <v>х</v>
      </c>
      <c r="AW524" s="5" t="str">
        <f t="shared" si="778"/>
        <v>х</v>
      </c>
      <c r="AX524" s="5" t="str">
        <f t="shared" si="778"/>
        <v>х</v>
      </c>
      <c r="AY524" s="5" t="str">
        <f t="shared" si="778"/>
        <v>х</v>
      </c>
      <c r="AZ524" s="5" t="str">
        <f t="shared" si="778"/>
        <v>х</v>
      </c>
      <c r="BA524" s="5" t="str">
        <f t="shared" si="778"/>
        <v>х</v>
      </c>
      <c r="BB524" s="5" t="str">
        <f t="shared" si="778"/>
        <v>х</v>
      </c>
      <c r="BC524" s="5" t="str">
        <f t="shared" si="778"/>
        <v>х</v>
      </c>
      <c r="BD524" s="5" t="str">
        <f t="shared" si="778"/>
        <v>х</v>
      </c>
      <c r="BE524" s="5" t="str">
        <f t="shared" si="778"/>
        <v>х</v>
      </c>
      <c r="BF524" s="5" t="str">
        <f t="shared" si="778"/>
        <v>х</v>
      </c>
      <c r="BG524" s="5" t="str">
        <f>""</f>
        <v/>
      </c>
      <c r="BH524" s="5" t="str">
        <f>"15,00"</f>
        <v>15,00</v>
      </c>
      <c r="BI524" s="5" t="str">
        <f>"2035"</f>
        <v>2035</v>
      </c>
      <c r="BJ524" s="5" t="str">
        <f t="shared" si="764"/>
        <v>нет</v>
      </c>
      <c r="BK524" s="5" t="str">
        <f>""</f>
        <v/>
      </c>
      <c r="BL524" s="5" t="str">
        <f>""</f>
        <v/>
      </c>
      <c r="BM524" s="5" t="str">
        <f>""</f>
        <v/>
      </c>
      <c r="BN524" s="5" t="str">
        <f t="shared" si="765"/>
        <v>нет</v>
      </c>
      <c r="BO524" s="5" t="str">
        <f>""</f>
        <v/>
      </c>
      <c r="BP524" s="5" t="str">
        <f>""</f>
        <v/>
      </c>
      <c r="BQ524" s="5" t="str">
        <f>""</f>
        <v/>
      </c>
      <c r="BR524" s="5" t="str">
        <f>""</f>
        <v/>
      </c>
      <c r="BS524" s="5" t="str">
        <f>"56,00"</f>
        <v>56,00</v>
      </c>
      <c r="BT524" s="5" t="str">
        <f>"2022"</f>
        <v>2022</v>
      </c>
      <c r="BU524" s="5" t="str">
        <f t="shared" si="752"/>
        <v>нет</v>
      </c>
      <c r="BV524" s="5" t="str">
        <f t="shared" si="774"/>
        <v>x</v>
      </c>
      <c r="BW524" s="5" t="str">
        <f t="shared" si="774"/>
        <v>x</v>
      </c>
      <c r="BX524" s="5" t="str">
        <f t="shared" si="774"/>
        <v>x</v>
      </c>
      <c r="BY524" s="5" t="str">
        <f t="shared" si="779"/>
        <v>нет</v>
      </c>
      <c r="BZ524" s="5" t="str">
        <f t="shared" si="780"/>
        <v>x</v>
      </c>
      <c r="CA524" s="5" t="str">
        <f t="shared" si="780"/>
        <v>x</v>
      </c>
      <c r="CB524" s="5" t="str">
        <f t="shared" si="780"/>
        <v>x</v>
      </c>
      <c r="CC524" s="5" t="str">
        <f>""</f>
        <v/>
      </c>
      <c r="CD524" s="5" t="str">
        <f>"60,00"</f>
        <v>60,00</v>
      </c>
      <c r="CE524" s="5" t="str">
        <f>"2022"</f>
        <v>2022</v>
      </c>
      <c r="CF524" s="5" t="str">
        <f>""</f>
        <v/>
      </c>
      <c r="CG524" s="5" t="str">
        <f>"56,00"</f>
        <v>56,00</v>
      </c>
      <c r="CH524" s="5" t="str">
        <f>"2022"</f>
        <v>2022</v>
      </c>
      <c r="CI524" s="5" t="str">
        <f>"56,00"</f>
        <v>56,00</v>
      </c>
      <c r="CJ524" s="5" t="str">
        <f>"2022"</f>
        <v>2022</v>
      </c>
    </row>
    <row r="525" spans="1:88" ht="11.25" customHeight="1">
      <c r="A525" s="3" t="str">
        <f>"1.512"</f>
        <v>1.512</v>
      </c>
      <c r="B525" s="4" t="str">
        <f>"пгт. Вохтога, ул. Ленина, д.12"</f>
        <v>пгт. Вохтога, ул. Ленина, д.12</v>
      </c>
      <c r="C525" s="7" t="str">
        <f t="shared" si="781"/>
        <v>1970</v>
      </c>
      <c r="D525" s="5" t="str">
        <f>""</f>
        <v/>
      </c>
      <c r="E525" s="5" t="str">
        <f>"15,00"</f>
        <v>15,00</v>
      </c>
      <c r="F525" s="5" t="str">
        <f>"2020"</f>
        <v>2020</v>
      </c>
      <c r="G525" s="5" t="str">
        <f t="shared" si="776"/>
        <v>нет</v>
      </c>
      <c r="H525" s="5" t="str">
        <f>""</f>
        <v/>
      </c>
      <c r="I525" s="5" t="str">
        <f>""</f>
        <v/>
      </c>
      <c r="J525" s="5" t="str">
        <f>""</f>
        <v/>
      </c>
      <c r="K525" s="5" t="str">
        <f t="shared" si="777"/>
        <v>нет</v>
      </c>
      <c r="L525" s="5" t="str">
        <f>""</f>
        <v/>
      </c>
      <c r="M525" s="5" t="str">
        <f>""</f>
        <v/>
      </c>
      <c r="N525" s="5" t="str">
        <f>""</f>
        <v/>
      </c>
      <c r="O525" s="8" t="str">
        <f>""</f>
        <v/>
      </c>
      <c r="P525" s="5" t="str">
        <f>"59,00"</f>
        <v>59,00</v>
      </c>
      <c r="Q525" s="5" t="str">
        <f>"2020"</f>
        <v>2020</v>
      </c>
      <c r="R525" s="5" t="str">
        <f t="shared" si="775"/>
        <v>нет</v>
      </c>
      <c r="S525" s="5" t="str">
        <f>""</f>
        <v/>
      </c>
      <c r="T525" s="5" t="str">
        <f>""</f>
        <v/>
      </c>
      <c r="U525" s="5" t="str">
        <f>""</f>
        <v/>
      </c>
      <c r="V525" s="5" t="str">
        <f t="shared" si="761"/>
        <v>нет</v>
      </c>
      <c r="W525" s="5" t="str">
        <f>""</f>
        <v/>
      </c>
      <c r="X525" s="5" t="str">
        <f>""</f>
        <v/>
      </c>
      <c r="Y525" s="9" t="str">
        <f>""</f>
        <v/>
      </c>
      <c r="Z525" s="5" t="str">
        <f>""</f>
        <v/>
      </c>
      <c r="AA525" s="5" t="str">
        <f>""</f>
        <v/>
      </c>
      <c r="AB525" s="5" t="str">
        <f>""</f>
        <v/>
      </c>
      <c r="AC525" s="5" t="str">
        <f>""</f>
        <v/>
      </c>
      <c r="AD525" s="5" t="str">
        <f>""</f>
        <v/>
      </c>
      <c r="AE525" s="5" t="str">
        <f>""</f>
        <v/>
      </c>
      <c r="AF525" s="5" t="str">
        <f>""</f>
        <v/>
      </c>
      <c r="AG525" s="5" t="str">
        <f>""</f>
        <v/>
      </c>
      <c r="AH525" s="5" t="str">
        <f>""</f>
        <v/>
      </c>
      <c r="AI525" s="5" t="str">
        <f>""</f>
        <v/>
      </c>
      <c r="AJ525" s="5" t="str">
        <f>""</f>
        <v/>
      </c>
      <c r="AK525" s="8" t="str">
        <f>""</f>
        <v/>
      </c>
      <c r="AL525" s="5" t="str">
        <f>"50,00"</f>
        <v>50,00</v>
      </c>
      <c r="AM525" s="5" t="str">
        <f>"2020"</f>
        <v>2020</v>
      </c>
      <c r="AN525" s="5" t="str">
        <f t="shared" si="755"/>
        <v>нет</v>
      </c>
      <c r="AO525" s="5" t="str">
        <f>""</f>
        <v/>
      </c>
      <c r="AP525" s="5" t="str">
        <f>""</f>
        <v/>
      </c>
      <c r="AQ525" s="5" t="str">
        <f>""</f>
        <v/>
      </c>
      <c r="AR525" s="5" t="str">
        <f t="shared" si="756"/>
        <v>нет</v>
      </c>
      <c r="AS525" s="5" t="str">
        <f>""</f>
        <v/>
      </c>
      <c r="AT525" s="5" t="str">
        <f>""</f>
        <v/>
      </c>
      <c r="AU525" s="5" t="str">
        <f>""</f>
        <v/>
      </c>
      <c r="AV525" s="5" t="str">
        <f t="shared" si="778"/>
        <v>х</v>
      </c>
      <c r="AW525" s="5" t="str">
        <f t="shared" si="778"/>
        <v>х</v>
      </c>
      <c r="AX525" s="5" t="str">
        <f t="shared" si="778"/>
        <v>х</v>
      </c>
      <c r="AY525" s="5" t="str">
        <f t="shared" si="778"/>
        <v>х</v>
      </c>
      <c r="AZ525" s="5" t="str">
        <f t="shared" si="778"/>
        <v>х</v>
      </c>
      <c r="BA525" s="5" t="str">
        <f t="shared" si="778"/>
        <v>х</v>
      </c>
      <c r="BB525" s="5" t="str">
        <f t="shared" si="778"/>
        <v>х</v>
      </c>
      <c r="BC525" s="5" t="str">
        <f t="shared" si="778"/>
        <v>х</v>
      </c>
      <c r="BD525" s="5" t="str">
        <f t="shared" si="778"/>
        <v>х</v>
      </c>
      <c r="BE525" s="5" t="str">
        <f t="shared" si="778"/>
        <v>х</v>
      </c>
      <c r="BF525" s="5" t="str">
        <f t="shared" si="778"/>
        <v>х</v>
      </c>
      <c r="BG525" s="5" t="str">
        <f>""</f>
        <v/>
      </c>
      <c r="BH525" s="5" t="str">
        <f>"25,00"</f>
        <v>25,00</v>
      </c>
      <c r="BI525" s="5" t="str">
        <f>"2035"</f>
        <v>2035</v>
      </c>
      <c r="BJ525" s="5" t="str">
        <f t="shared" si="764"/>
        <v>нет</v>
      </c>
      <c r="BK525" s="5" t="str">
        <f>""</f>
        <v/>
      </c>
      <c r="BL525" s="5" t="str">
        <f>""</f>
        <v/>
      </c>
      <c r="BM525" s="5" t="str">
        <f>""</f>
        <v/>
      </c>
      <c r="BN525" s="5" t="str">
        <f t="shared" si="765"/>
        <v>нет</v>
      </c>
      <c r="BO525" s="5" t="str">
        <f>""</f>
        <v/>
      </c>
      <c r="BP525" s="5" t="str">
        <f>""</f>
        <v/>
      </c>
      <c r="BQ525" s="5" t="str">
        <f>""</f>
        <v/>
      </c>
      <c r="BR525" s="5" t="str">
        <f>"2007"</f>
        <v>2007</v>
      </c>
      <c r="BS525" s="5" t="str">
        <f>"10,00"</f>
        <v>10,00</v>
      </c>
      <c r="BT525" s="5" t="str">
        <f>"2035"</f>
        <v>2035</v>
      </c>
      <c r="BU525" s="5" t="str">
        <f t="shared" si="752"/>
        <v>нет</v>
      </c>
      <c r="BV525" s="5" t="str">
        <f t="shared" si="774"/>
        <v>x</v>
      </c>
      <c r="BW525" s="5" t="str">
        <f t="shared" si="774"/>
        <v>x</v>
      </c>
      <c r="BX525" s="5" t="str">
        <f t="shared" si="774"/>
        <v>x</v>
      </c>
      <c r="BY525" s="5" t="str">
        <f t="shared" si="779"/>
        <v>нет</v>
      </c>
      <c r="BZ525" s="5" t="str">
        <f t="shared" si="780"/>
        <v>x</v>
      </c>
      <c r="CA525" s="5" t="str">
        <f t="shared" si="780"/>
        <v>x</v>
      </c>
      <c r="CB525" s="5" t="str">
        <f t="shared" si="780"/>
        <v>x</v>
      </c>
      <c r="CC525" s="5" t="str">
        <f>""</f>
        <v/>
      </c>
      <c r="CD525" s="5" t="str">
        <f>"59,00"</f>
        <v>59,00</v>
      </c>
      <c r="CE525" s="5" t="str">
        <f>"2020"</f>
        <v>2020</v>
      </c>
      <c r="CF525" s="5" t="str">
        <f>""</f>
        <v/>
      </c>
      <c r="CG525" s="5" t="str">
        <f>"59,00"</f>
        <v>59,00</v>
      </c>
      <c r="CH525" s="5" t="str">
        <f>"2020"</f>
        <v>2020</v>
      </c>
      <c r="CI525" s="5" t="str">
        <f>"59,00"</f>
        <v>59,00</v>
      </c>
      <c r="CJ525" s="5" t="str">
        <f>"2020"</f>
        <v>2020</v>
      </c>
    </row>
    <row r="526" spans="1:88" ht="11.25" customHeight="1">
      <c r="A526" s="3" t="str">
        <f>"1.513"</f>
        <v>1.513</v>
      </c>
      <c r="B526" s="4" t="str">
        <f>"пгт. Вохтога, ул. Ленина, д.16"</f>
        <v>пгт. Вохтога, ул. Ленина, д.16</v>
      </c>
      <c r="C526" s="7" t="str">
        <f t="shared" si="781"/>
        <v>1970</v>
      </c>
      <c r="D526" s="5" t="str">
        <f>""</f>
        <v/>
      </c>
      <c r="E526" s="5" t="str">
        <f>"15,00"</f>
        <v>15,00</v>
      </c>
      <c r="F526" s="5" t="str">
        <f>"2020"</f>
        <v>2020</v>
      </c>
      <c r="G526" s="5" t="str">
        <f t="shared" si="776"/>
        <v>нет</v>
      </c>
      <c r="H526" s="5" t="str">
        <f>""</f>
        <v/>
      </c>
      <c r="I526" s="5" t="str">
        <f>""</f>
        <v/>
      </c>
      <c r="J526" s="5" t="str">
        <f>""</f>
        <v/>
      </c>
      <c r="K526" s="5" t="str">
        <f t="shared" si="777"/>
        <v>нет</v>
      </c>
      <c r="L526" s="5" t="str">
        <f>""</f>
        <v/>
      </c>
      <c r="M526" s="5" t="str">
        <f>""</f>
        <v/>
      </c>
      <c r="N526" s="5" t="str">
        <f>""</f>
        <v/>
      </c>
      <c r="O526" s="8" t="str">
        <f>""</f>
        <v/>
      </c>
      <c r="P526" s="5" t="str">
        <f>"56,00"</f>
        <v>56,00</v>
      </c>
      <c r="Q526" s="5" t="str">
        <f>"2020"</f>
        <v>2020</v>
      </c>
      <c r="R526" s="5" t="str">
        <f t="shared" si="775"/>
        <v>нет</v>
      </c>
      <c r="S526" s="5" t="str">
        <f>""</f>
        <v/>
      </c>
      <c r="T526" s="5" t="str">
        <f>""</f>
        <v/>
      </c>
      <c r="U526" s="5" t="str">
        <f>""</f>
        <v/>
      </c>
      <c r="V526" s="5" t="str">
        <f t="shared" si="761"/>
        <v>нет</v>
      </c>
      <c r="W526" s="5" t="str">
        <f>""</f>
        <v/>
      </c>
      <c r="X526" s="5" t="str">
        <f>""</f>
        <v/>
      </c>
      <c r="Y526" s="9" t="str">
        <f>""</f>
        <v/>
      </c>
      <c r="Z526" s="5" t="str">
        <f>""</f>
        <v/>
      </c>
      <c r="AA526" s="5" t="str">
        <f>""</f>
        <v/>
      </c>
      <c r="AB526" s="5" t="str">
        <f>""</f>
        <v/>
      </c>
      <c r="AC526" s="5" t="str">
        <f>""</f>
        <v/>
      </c>
      <c r="AD526" s="5" t="str">
        <f>""</f>
        <v/>
      </c>
      <c r="AE526" s="5" t="str">
        <f>""</f>
        <v/>
      </c>
      <c r="AF526" s="5" t="str">
        <f>""</f>
        <v/>
      </c>
      <c r="AG526" s="5" t="str">
        <f>""</f>
        <v/>
      </c>
      <c r="AH526" s="5" t="str">
        <f>""</f>
        <v/>
      </c>
      <c r="AI526" s="5" t="str">
        <f>""</f>
        <v/>
      </c>
      <c r="AJ526" s="5" t="str">
        <f>""</f>
        <v/>
      </c>
      <c r="AK526" s="8" t="str">
        <f>""</f>
        <v/>
      </c>
      <c r="AL526" s="5" t="str">
        <f>"52,00"</f>
        <v>52,00</v>
      </c>
      <c r="AM526" s="5" t="str">
        <f>"2020"</f>
        <v>2020</v>
      </c>
      <c r="AN526" s="5" t="str">
        <f t="shared" si="755"/>
        <v>нет</v>
      </c>
      <c r="AO526" s="5" t="str">
        <f>""</f>
        <v/>
      </c>
      <c r="AP526" s="5" t="str">
        <f>""</f>
        <v/>
      </c>
      <c r="AQ526" s="5" t="str">
        <f>""</f>
        <v/>
      </c>
      <c r="AR526" s="5" t="str">
        <f t="shared" si="756"/>
        <v>нет</v>
      </c>
      <c r="AS526" s="5" t="str">
        <f>""</f>
        <v/>
      </c>
      <c r="AT526" s="5" t="str">
        <f>""</f>
        <v/>
      </c>
      <c r="AU526" s="5" t="str">
        <f>""</f>
        <v/>
      </c>
      <c r="AV526" s="5" t="str">
        <f t="shared" si="778"/>
        <v>х</v>
      </c>
      <c r="AW526" s="5" t="str">
        <f t="shared" si="778"/>
        <v>х</v>
      </c>
      <c r="AX526" s="5" t="str">
        <f t="shared" si="778"/>
        <v>х</v>
      </c>
      <c r="AY526" s="5" t="str">
        <f t="shared" si="778"/>
        <v>х</v>
      </c>
      <c r="AZ526" s="5" t="str">
        <f t="shared" si="778"/>
        <v>х</v>
      </c>
      <c r="BA526" s="5" t="str">
        <f t="shared" si="778"/>
        <v>х</v>
      </c>
      <c r="BB526" s="5" t="str">
        <f t="shared" si="778"/>
        <v>х</v>
      </c>
      <c r="BC526" s="5" t="str">
        <f t="shared" si="778"/>
        <v>х</v>
      </c>
      <c r="BD526" s="5" t="str">
        <f t="shared" si="778"/>
        <v>х</v>
      </c>
      <c r="BE526" s="5" t="str">
        <f t="shared" si="778"/>
        <v>х</v>
      </c>
      <c r="BF526" s="5" t="str">
        <f t="shared" si="778"/>
        <v>х</v>
      </c>
      <c r="BG526" s="5" t="str">
        <f>""</f>
        <v/>
      </c>
      <c r="BH526" s="5" t="str">
        <f>"25,00"</f>
        <v>25,00</v>
      </c>
      <c r="BI526" s="5" t="str">
        <f>"2035"</f>
        <v>2035</v>
      </c>
      <c r="BJ526" s="5" t="str">
        <f t="shared" si="764"/>
        <v>нет</v>
      </c>
      <c r="BK526" s="5" t="str">
        <f>""</f>
        <v/>
      </c>
      <c r="BL526" s="5" t="str">
        <f>""</f>
        <v/>
      </c>
      <c r="BM526" s="5" t="str">
        <f>""</f>
        <v/>
      </c>
      <c r="BN526" s="5" t="str">
        <f t="shared" si="765"/>
        <v>нет</v>
      </c>
      <c r="BO526" s="5" t="str">
        <f>""</f>
        <v/>
      </c>
      <c r="BP526" s="5" t="str">
        <f>""</f>
        <v/>
      </c>
      <c r="BQ526" s="5" t="str">
        <f>""</f>
        <v/>
      </c>
      <c r="BR526" s="5" t="str">
        <f>""</f>
        <v/>
      </c>
      <c r="BS526" s="5" t="str">
        <f>"45,00"</f>
        <v>45,00</v>
      </c>
      <c r="BT526" s="5" t="str">
        <f>"2023"</f>
        <v>2023</v>
      </c>
      <c r="BU526" s="5" t="str">
        <f t="shared" si="752"/>
        <v>нет</v>
      </c>
      <c r="BV526" s="5" t="str">
        <f t="shared" si="774"/>
        <v>x</v>
      </c>
      <c r="BW526" s="5" t="str">
        <f t="shared" si="774"/>
        <v>x</v>
      </c>
      <c r="BX526" s="5" t="str">
        <f t="shared" si="774"/>
        <v>x</v>
      </c>
      <c r="BY526" s="5" t="str">
        <f t="shared" si="779"/>
        <v>нет</v>
      </c>
      <c r="BZ526" s="5" t="str">
        <f t="shared" si="780"/>
        <v>x</v>
      </c>
      <c r="CA526" s="5" t="str">
        <f t="shared" si="780"/>
        <v>x</v>
      </c>
      <c r="CB526" s="5" t="str">
        <f t="shared" si="780"/>
        <v>x</v>
      </c>
      <c r="CC526" s="5" t="str">
        <f>""</f>
        <v/>
      </c>
      <c r="CD526" s="5" t="str">
        <f>"45,00"</f>
        <v>45,00</v>
      </c>
      <c r="CE526" s="5" t="str">
        <f>"2023"</f>
        <v>2023</v>
      </c>
      <c r="CF526" s="5" t="str">
        <f>""</f>
        <v/>
      </c>
      <c r="CG526" s="5" t="str">
        <f>"46,00"</f>
        <v>46,00</v>
      </c>
      <c r="CH526" s="5" t="str">
        <f>"2023"</f>
        <v>2023</v>
      </c>
      <c r="CI526" s="5" t="str">
        <f>"56,00"</f>
        <v>56,00</v>
      </c>
      <c r="CJ526" s="5" t="str">
        <f>"2023"</f>
        <v>2023</v>
      </c>
    </row>
    <row r="527" spans="1:88" ht="11.25" customHeight="1">
      <c r="A527" s="3" t="str">
        <f>"1.514"</f>
        <v>1.514</v>
      </c>
      <c r="B527" s="4" t="str">
        <f>"пгт. Вохтога, ул. Ленина, д.23"</f>
        <v>пгт. Вохтога, ул. Ленина, д.23</v>
      </c>
      <c r="C527" s="7" t="str">
        <f t="shared" si="781"/>
        <v>1970</v>
      </c>
      <c r="D527" s="5" t="str">
        <f>""</f>
        <v/>
      </c>
      <c r="E527" s="5" t="str">
        <f>"30,00"</f>
        <v>30,00</v>
      </c>
      <c r="F527" s="5" t="str">
        <f>"2027"</f>
        <v>2027</v>
      </c>
      <c r="G527" s="5" t="str">
        <f t="shared" si="776"/>
        <v>нет</v>
      </c>
      <c r="H527" s="5" t="str">
        <f>""</f>
        <v/>
      </c>
      <c r="I527" s="5" t="str">
        <f>""</f>
        <v/>
      </c>
      <c r="J527" s="5" t="str">
        <f>""</f>
        <v/>
      </c>
      <c r="K527" s="5" t="str">
        <f t="shared" si="777"/>
        <v>нет</v>
      </c>
      <c r="L527" s="5" t="str">
        <f>""</f>
        <v/>
      </c>
      <c r="M527" s="5" t="str">
        <f>""</f>
        <v/>
      </c>
      <c r="N527" s="5" t="str">
        <f>""</f>
        <v/>
      </c>
      <c r="O527" s="8" t="str">
        <f>""</f>
        <v/>
      </c>
      <c r="P527" s="5" t="str">
        <f>"64,00"</f>
        <v>64,00</v>
      </c>
      <c r="Q527" s="5" t="str">
        <f>"2019"</f>
        <v>2019</v>
      </c>
      <c r="R527" s="5" t="str">
        <f t="shared" si="775"/>
        <v>нет</v>
      </c>
      <c r="S527" s="5" t="str">
        <f>""</f>
        <v/>
      </c>
      <c r="T527" s="5" t="str">
        <f>""</f>
        <v/>
      </c>
      <c r="U527" s="5" t="str">
        <f>""</f>
        <v/>
      </c>
      <c r="V527" s="5" t="str">
        <f t="shared" si="761"/>
        <v>нет</v>
      </c>
      <c r="W527" s="5" t="str">
        <f>""</f>
        <v/>
      </c>
      <c r="X527" s="5" t="str">
        <f>""</f>
        <v/>
      </c>
      <c r="Y527" s="9" t="str">
        <f>""</f>
        <v/>
      </c>
      <c r="Z527" s="5" t="str">
        <f>""</f>
        <v/>
      </c>
      <c r="AA527" s="5" t="str">
        <f>""</f>
        <v/>
      </c>
      <c r="AB527" s="5" t="str">
        <f>""</f>
        <v/>
      </c>
      <c r="AC527" s="5" t="str">
        <f>""</f>
        <v/>
      </c>
      <c r="AD527" s="5" t="str">
        <f>""</f>
        <v/>
      </c>
      <c r="AE527" s="5" t="str">
        <f>""</f>
        <v/>
      </c>
      <c r="AF527" s="5" t="str">
        <f>""</f>
        <v/>
      </c>
      <c r="AG527" s="5" t="str">
        <f>""</f>
        <v/>
      </c>
      <c r="AH527" s="5" t="str">
        <f>""</f>
        <v/>
      </c>
      <c r="AI527" s="5" t="str">
        <f>""</f>
        <v/>
      </c>
      <c r="AJ527" s="5" t="str">
        <f>""</f>
        <v/>
      </c>
      <c r="AK527" s="8" t="str">
        <f>""</f>
        <v/>
      </c>
      <c r="AL527" s="5" t="str">
        <f>"35,00"</f>
        <v>35,00</v>
      </c>
      <c r="AM527" s="5" t="str">
        <f>"2034"</f>
        <v>2034</v>
      </c>
      <c r="AN527" s="5" t="str">
        <f t="shared" si="755"/>
        <v>нет</v>
      </c>
      <c r="AO527" s="5" t="str">
        <f>""</f>
        <v/>
      </c>
      <c r="AP527" s="5" t="str">
        <f>""</f>
        <v/>
      </c>
      <c r="AQ527" s="5" t="str">
        <f>""</f>
        <v/>
      </c>
      <c r="AR527" s="5" t="str">
        <f t="shared" si="756"/>
        <v>нет</v>
      </c>
      <c r="AS527" s="5" t="str">
        <f>""</f>
        <v/>
      </c>
      <c r="AT527" s="5" t="str">
        <f>""</f>
        <v/>
      </c>
      <c r="AU527" s="5" t="str">
        <f>""</f>
        <v/>
      </c>
      <c r="AV527" s="5" t="str">
        <f t="shared" si="778"/>
        <v>х</v>
      </c>
      <c r="AW527" s="5" t="str">
        <f t="shared" si="778"/>
        <v>х</v>
      </c>
      <c r="AX527" s="5" t="str">
        <f t="shared" si="778"/>
        <v>х</v>
      </c>
      <c r="AY527" s="5" t="str">
        <f t="shared" si="778"/>
        <v>х</v>
      </c>
      <c r="AZ527" s="5" t="str">
        <f t="shared" si="778"/>
        <v>х</v>
      </c>
      <c r="BA527" s="5" t="str">
        <f t="shared" si="778"/>
        <v>х</v>
      </c>
      <c r="BB527" s="5" t="str">
        <f t="shared" si="778"/>
        <v>х</v>
      </c>
      <c r="BC527" s="5" t="str">
        <f t="shared" si="778"/>
        <v>х</v>
      </c>
      <c r="BD527" s="5" t="str">
        <f t="shared" si="778"/>
        <v>х</v>
      </c>
      <c r="BE527" s="5" t="str">
        <f t="shared" si="778"/>
        <v>х</v>
      </c>
      <c r="BF527" s="5" t="str">
        <f t="shared" si="778"/>
        <v>х</v>
      </c>
      <c r="BG527" s="5" t="str">
        <f>""</f>
        <v/>
      </c>
      <c r="BH527" s="5" t="str">
        <f>"35,00"</f>
        <v>35,00</v>
      </c>
      <c r="BI527" s="5" t="str">
        <f>"2034"</f>
        <v>2034</v>
      </c>
      <c r="BJ527" s="5" t="str">
        <f t="shared" si="764"/>
        <v>нет</v>
      </c>
      <c r="BK527" s="5" t="str">
        <f>""</f>
        <v/>
      </c>
      <c r="BL527" s="5" t="str">
        <f>""</f>
        <v/>
      </c>
      <c r="BM527" s="5" t="str">
        <f>""</f>
        <v/>
      </c>
      <c r="BN527" s="5" t="str">
        <f t="shared" si="765"/>
        <v>нет</v>
      </c>
      <c r="BO527" s="5" t="str">
        <f>""</f>
        <v/>
      </c>
      <c r="BP527" s="5" t="str">
        <f>""</f>
        <v/>
      </c>
      <c r="BQ527" s="5" t="str">
        <f>""</f>
        <v/>
      </c>
      <c r="BR527" s="5" t="str">
        <f>""</f>
        <v/>
      </c>
      <c r="BS527" s="5" t="str">
        <f>"64,00"</f>
        <v>64,00</v>
      </c>
      <c r="BT527" s="5" t="str">
        <f>"2019"</f>
        <v>2019</v>
      </c>
      <c r="BU527" s="5" t="str">
        <f t="shared" si="752"/>
        <v>нет</v>
      </c>
      <c r="BV527" s="5" t="str">
        <f t="shared" si="774"/>
        <v>x</v>
      </c>
      <c r="BW527" s="5" t="str">
        <f t="shared" si="774"/>
        <v>x</v>
      </c>
      <c r="BX527" s="5" t="str">
        <f t="shared" si="774"/>
        <v>x</v>
      </c>
      <c r="BY527" s="5" t="str">
        <f t="shared" si="779"/>
        <v>нет</v>
      </c>
      <c r="BZ527" s="5" t="str">
        <f t="shared" si="780"/>
        <v>x</v>
      </c>
      <c r="CA527" s="5" t="str">
        <f t="shared" si="780"/>
        <v>x</v>
      </c>
      <c r="CB527" s="5" t="str">
        <f t="shared" si="780"/>
        <v>x</v>
      </c>
      <c r="CC527" s="5" t="str">
        <f>""</f>
        <v/>
      </c>
      <c r="CD527" s="5" t="str">
        <f>"64,00"</f>
        <v>64,00</v>
      </c>
      <c r="CE527" s="5" t="str">
        <f>"2019"</f>
        <v>2019</v>
      </c>
      <c r="CF527" s="5" t="str">
        <f>""</f>
        <v/>
      </c>
      <c r="CG527" s="5" t="str">
        <f>"64,00"</f>
        <v>64,00</v>
      </c>
      <c r="CH527" s="5" t="str">
        <f>"2019"</f>
        <v>2019</v>
      </c>
      <c r="CI527" s="5" t="str">
        <f>"64,00"</f>
        <v>64,00</v>
      </c>
      <c r="CJ527" s="5" t="str">
        <f>"2019"</f>
        <v>2019</v>
      </c>
    </row>
    <row r="528" spans="1:88" ht="11.25" customHeight="1">
      <c r="A528" s="3" t="str">
        <f>"1.515"</f>
        <v>1.515</v>
      </c>
      <c r="B528" s="4" t="str">
        <f>"пгт. Вохтога, ул. Ленина, д.4"</f>
        <v>пгт. Вохтога, ул. Ленина, д.4</v>
      </c>
      <c r="C528" s="7" t="str">
        <f t="shared" si="781"/>
        <v>1970</v>
      </c>
      <c r="D528" s="5" t="str">
        <f>""</f>
        <v/>
      </c>
      <c r="E528" s="5" t="str">
        <f>"45,00"</f>
        <v>45,00</v>
      </c>
      <c r="F528" s="5" t="str">
        <f>"2021"</f>
        <v>2021</v>
      </c>
      <c r="G528" s="5" t="str">
        <f t="shared" si="776"/>
        <v>нет</v>
      </c>
      <c r="H528" s="5" t="str">
        <f>""</f>
        <v/>
      </c>
      <c r="I528" s="5" t="str">
        <f>""</f>
        <v/>
      </c>
      <c r="J528" s="5" t="str">
        <f>""</f>
        <v/>
      </c>
      <c r="K528" s="5" t="str">
        <f t="shared" si="777"/>
        <v>нет</v>
      </c>
      <c r="L528" s="5" t="str">
        <f>""</f>
        <v/>
      </c>
      <c r="M528" s="5" t="str">
        <f>""</f>
        <v/>
      </c>
      <c r="N528" s="5" t="str">
        <f>""</f>
        <v/>
      </c>
      <c r="O528" s="8" t="str">
        <f>""</f>
        <v/>
      </c>
      <c r="P528" s="5" t="str">
        <f>"55,00"</f>
        <v>55,00</v>
      </c>
      <c r="Q528" s="5" t="str">
        <f>"2026"</f>
        <v>2026</v>
      </c>
      <c r="R528" s="5" t="str">
        <f t="shared" si="775"/>
        <v>нет</v>
      </c>
      <c r="S528" s="5" t="str">
        <f>""</f>
        <v/>
      </c>
      <c r="T528" s="5" t="str">
        <f>""</f>
        <v/>
      </c>
      <c r="U528" s="5" t="str">
        <f>""</f>
        <v/>
      </c>
      <c r="V528" s="5" t="str">
        <f t="shared" si="761"/>
        <v>нет</v>
      </c>
      <c r="W528" s="5" t="str">
        <f>""</f>
        <v/>
      </c>
      <c r="X528" s="5" t="str">
        <f>""</f>
        <v/>
      </c>
      <c r="Y528" s="9" t="str">
        <f>""</f>
        <v/>
      </c>
      <c r="Z528" s="5" t="str">
        <f>""</f>
        <v/>
      </c>
      <c r="AA528" s="5" t="str">
        <f>""</f>
        <v/>
      </c>
      <c r="AB528" s="5" t="str">
        <f>""</f>
        <v/>
      </c>
      <c r="AC528" s="5" t="str">
        <f>""</f>
        <v/>
      </c>
      <c r="AD528" s="5" t="str">
        <f>""</f>
        <v/>
      </c>
      <c r="AE528" s="5" t="str">
        <f>""</f>
        <v/>
      </c>
      <c r="AF528" s="5" t="str">
        <f>""</f>
        <v/>
      </c>
      <c r="AG528" s="5" t="str">
        <f>""</f>
        <v/>
      </c>
      <c r="AH528" s="5" t="str">
        <f>""</f>
        <v/>
      </c>
      <c r="AI528" s="5" t="str">
        <f>""</f>
        <v/>
      </c>
      <c r="AJ528" s="5" t="str">
        <f>""</f>
        <v/>
      </c>
      <c r="AK528" s="8" t="str">
        <f>""</f>
        <v/>
      </c>
      <c r="AL528" s="5" t="str">
        <f>"35,00"</f>
        <v>35,00</v>
      </c>
      <c r="AM528" s="5" t="str">
        <f>"2036"</f>
        <v>2036</v>
      </c>
      <c r="AN528" s="5" t="str">
        <f t="shared" si="755"/>
        <v>нет</v>
      </c>
      <c r="AO528" s="5" t="str">
        <f>""</f>
        <v/>
      </c>
      <c r="AP528" s="5" t="str">
        <f>""</f>
        <v/>
      </c>
      <c r="AQ528" s="5" t="str">
        <f>""</f>
        <v/>
      </c>
      <c r="AR528" s="5" t="str">
        <f t="shared" si="756"/>
        <v>нет</v>
      </c>
      <c r="AS528" s="5" t="str">
        <f>""</f>
        <v/>
      </c>
      <c r="AT528" s="5" t="str">
        <f>""</f>
        <v/>
      </c>
      <c r="AU528" s="5" t="str">
        <f>""</f>
        <v/>
      </c>
      <c r="AV528" s="5" t="str">
        <f t="shared" si="778"/>
        <v>х</v>
      </c>
      <c r="AW528" s="5" t="str">
        <f t="shared" si="778"/>
        <v>х</v>
      </c>
      <c r="AX528" s="5" t="str">
        <f t="shared" si="778"/>
        <v>х</v>
      </c>
      <c r="AY528" s="5" t="str">
        <f t="shared" si="778"/>
        <v>х</v>
      </c>
      <c r="AZ528" s="5" t="str">
        <f t="shared" si="778"/>
        <v>х</v>
      </c>
      <c r="BA528" s="5" t="str">
        <f t="shared" si="778"/>
        <v>х</v>
      </c>
      <c r="BB528" s="5" t="str">
        <f t="shared" si="778"/>
        <v>х</v>
      </c>
      <c r="BC528" s="5" t="str">
        <f t="shared" si="778"/>
        <v>х</v>
      </c>
      <c r="BD528" s="5" t="str">
        <f t="shared" si="778"/>
        <v>х</v>
      </c>
      <c r="BE528" s="5" t="str">
        <f t="shared" si="778"/>
        <v>х</v>
      </c>
      <c r="BF528" s="5" t="str">
        <f t="shared" si="778"/>
        <v>х</v>
      </c>
      <c r="BG528" s="5" t="str">
        <f>""</f>
        <v/>
      </c>
      <c r="BH528" s="5" t="str">
        <f>"15,00"</f>
        <v>15,00</v>
      </c>
      <c r="BI528" s="5" t="str">
        <f>"2036"</f>
        <v>2036</v>
      </c>
      <c r="BJ528" s="5" t="str">
        <f t="shared" si="764"/>
        <v>нет</v>
      </c>
      <c r="BK528" s="5" t="str">
        <f>""</f>
        <v/>
      </c>
      <c r="BL528" s="5" t="str">
        <f>""</f>
        <v/>
      </c>
      <c r="BM528" s="5" t="str">
        <f>""</f>
        <v/>
      </c>
      <c r="BN528" s="5" t="str">
        <f t="shared" si="765"/>
        <v>нет</v>
      </c>
      <c r="BO528" s="5" t="str">
        <f>""</f>
        <v/>
      </c>
      <c r="BP528" s="5" t="str">
        <f>""</f>
        <v/>
      </c>
      <c r="BQ528" s="5" t="str">
        <f>""</f>
        <v/>
      </c>
      <c r="BR528" s="5" t="str">
        <f>""</f>
        <v/>
      </c>
      <c r="BS528" s="5" t="str">
        <f>"63,00"</f>
        <v>63,00</v>
      </c>
      <c r="BT528" s="5" t="str">
        <f>"2019"</f>
        <v>2019</v>
      </c>
      <c r="BU528" s="5" t="str">
        <f t="shared" si="752"/>
        <v>нет</v>
      </c>
      <c r="BV528" s="5" t="str">
        <f t="shared" si="774"/>
        <v>x</v>
      </c>
      <c r="BW528" s="5" t="str">
        <f t="shared" si="774"/>
        <v>x</v>
      </c>
      <c r="BX528" s="5" t="str">
        <f t="shared" si="774"/>
        <v>x</v>
      </c>
      <c r="BY528" s="5" t="str">
        <f t="shared" si="779"/>
        <v>нет</v>
      </c>
      <c r="BZ528" s="5" t="str">
        <f t="shared" si="780"/>
        <v>x</v>
      </c>
      <c r="CA528" s="5" t="str">
        <f t="shared" si="780"/>
        <v>x</v>
      </c>
      <c r="CB528" s="5" t="str">
        <f t="shared" si="780"/>
        <v>x</v>
      </c>
      <c r="CC528" s="5" t="str">
        <f>""</f>
        <v/>
      </c>
      <c r="CD528" s="5" t="str">
        <f>"63,00"</f>
        <v>63,00</v>
      </c>
      <c r="CE528" s="5" t="str">
        <f>"2026"</f>
        <v>2026</v>
      </c>
      <c r="CF528" s="5" t="str">
        <f>""</f>
        <v/>
      </c>
      <c r="CG528" s="5" t="str">
        <f>"63,00"</f>
        <v>63,00</v>
      </c>
      <c r="CH528" s="5" t="str">
        <f>"2026"</f>
        <v>2026</v>
      </c>
      <c r="CI528" s="5" t="str">
        <f>"63,00"</f>
        <v>63,00</v>
      </c>
      <c r="CJ528" s="5" t="str">
        <f>"2021"</f>
        <v>2021</v>
      </c>
    </row>
    <row r="529" spans="1:88" ht="11.25" customHeight="1">
      <c r="A529" s="3" t="str">
        <f>"1.516"</f>
        <v>1.516</v>
      </c>
      <c r="B529" s="4" t="str">
        <f>"пгт. Вохтога, ул. Ленина, д.6"</f>
        <v>пгт. Вохтога, ул. Ленина, д.6</v>
      </c>
      <c r="C529" s="7" t="str">
        <f t="shared" si="781"/>
        <v>1970</v>
      </c>
      <c r="D529" s="5" t="str">
        <f>""</f>
        <v/>
      </c>
      <c r="E529" s="5" t="str">
        <f>"55,00"</f>
        <v>55,00</v>
      </c>
      <c r="F529" s="5" t="str">
        <f>"2025"</f>
        <v>2025</v>
      </c>
      <c r="G529" s="5" t="str">
        <f t="shared" si="776"/>
        <v>нет</v>
      </c>
      <c r="H529" s="5" t="str">
        <f>""</f>
        <v/>
      </c>
      <c r="I529" s="5" t="str">
        <f>""</f>
        <v/>
      </c>
      <c r="J529" s="5" t="str">
        <f>""</f>
        <v/>
      </c>
      <c r="K529" s="5" t="str">
        <f t="shared" si="777"/>
        <v>нет</v>
      </c>
      <c r="L529" s="5" t="str">
        <f>""</f>
        <v/>
      </c>
      <c r="M529" s="5" t="str">
        <f>""</f>
        <v/>
      </c>
      <c r="N529" s="5" t="str">
        <f>""</f>
        <v/>
      </c>
      <c r="O529" s="8" t="str">
        <f>""</f>
        <v/>
      </c>
      <c r="P529" s="5" t="str">
        <f>"58,00"</f>
        <v>58,00</v>
      </c>
      <c r="Q529" s="5" t="str">
        <f>"2020"</f>
        <v>2020</v>
      </c>
      <c r="R529" s="5" t="str">
        <f t="shared" si="775"/>
        <v>нет</v>
      </c>
      <c r="S529" s="5" t="str">
        <f>""</f>
        <v/>
      </c>
      <c r="T529" s="5" t="str">
        <f>""</f>
        <v/>
      </c>
      <c r="U529" s="5" t="str">
        <f>""</f>
        <v/>
      </c>
      <c r="V529" s="5" t="str">
        <f t="shared" si="761"/>
        <v>нет</v>
      </c>
      <c r="W529" s="5" t="str">
        <f>""</f>
        <v/>
      </c>
      <c r="X529" s="5" t="str">
        <f>""</f>
        <v/>
      </c>
      <c r="Y529" s="9" t="str">
        <f>""</f>
        <v/>
      </c>
      <c r="Z529" s="5" t="str">
        <f>""</f>
        <v/>
      </c>
      <c r="AA529" s="5" t="str">
        <f>""</f>
        <v/>
      </c>
      <c r="AB529" s="5" t="str">
        <f>""</f>
        <v/>
      </c>
      <c r="AC529" s="5" t="str">
        <f>""</f>
        <v/>
      </c>
      <c r="AD529" s="5" t="str">
        <f>""</f>
        <v/>
      </c>
      <c r="AE529" s="5" t="str">
        <f>""</f>
        <v/>
      </c>
      <c r="AF529" s="5" t="str">
        <f>""</f>
        <v/>
      </c>
      <c r="AG529" s="5" t="str">
        <f>""</f>
        <v/>
      </c>
      <c r="AH529" s="5" t="str">
        <f>""</f>
        <v/>
      </c>
      <c r="AI529" s="5" t="str">
        <f>""</f>
        <v/>
      </c>
      <c r="AJ529" s="5" t="str">
        <f>""</f>
        <v/>
      </c>
      <c r="AK529" s="8" t="str">
        <f>""</f>
        <v/>
      </c>
      <c r="AL529" s="5" t="str">
        <f>"60,00"</f>
        <v>60,00</v>
      </c>
      <c r="AM529" s="5" t="str">
        <f>"2024"</f>
        <v>2024</v>
      </c>
      <c r="AN529" s="5" t="str">
        <f t="shared" si="755"/>
        <v>нет</v>
      </c>
      <c r="AO529" s="5" t="str">
        <f>""</f>
        <v/>
      </c>
      <c r="AP529" s="5" t="str">
        <f>""</f>
        <v/>
      </c>
      <c r="AQ529" s="5" t="str">
        <f>""</f>
        <v/>
      </c>
      <c r="AR529" s="5" t="str">
        <f t="shared" si="756"/>
        <v>нет</v>
      </c>
      <c r="AS529" s="5" t="str">
        <f>""</f>
        <v/>
      </c>
      <c r="AT529" s="5" t="str">
        <f>""</f>
        <v/>
      </c>
      <c r="AU529" s="5" t="str">
        <f>""</f>
        <v/>
      </c>
      <c r="AV529" s="5" t="str">
        <f t="shared" si="778"/>
        <v>х</v>
      </c>
      <c r="AW529" s="5" t="str">
        <f t="shared" si="778"/>
        <v>х</v>
      </c>
      <c r="AX529" s="5" t="str">
        <f t="shared" si="778"/>
        <v>х</v>
      </c>
      <c r="AY529" s="5" t="str">
        <f t="shared" si="778"/>
        <v>х</v>
      </c>
      <c r="AZ529" s="5" t="str">
        <f t="shared" si="778"/>
        <v>х</v>
      </c>
      <c r="BA529" s="5" t="str">
        <f t="shared" si="778"/>
        <v>х</v>
      </c>
      <c r="BB529" s="5" t="str">
        <f t="shared" si="778"/>
        <v>х</v>
      </c>
      <c r="BC529" s="5" t="str">
        <f t="shared" si="778"/>
        <v>х</v>
      </c>
      <c r="BD529" s="5" t="str">
        <f t="shared" si="778"/>
        <v>х</v>
      </c>
      <c r="BE529" s="5" t="str">
        <f t="shared" si="778"/>
        <v>х</v>
      </c>
      <c r="BF529" s="5" t="str">
        <f t="shared" si="778"/>
        <v>х</v>
      </c>
      <c r="BG529" s="5" t="str">
        <f>""</f>
        <v/>
      </c>
      <c r="BH529" s="5" t="str">
        <f>"25,00"</f>
        <v>25,00</v>
      </c>
      <c r="BI529" s="5" t="str">
        <f>"2032"</f>
        <v>2032</v>
      </c>
      <c r="BJ529" s="5" t="str">
        <f t="shared" si="764"/>
        <v>нет</v>
      </c>
      <c r="BK529" s="5" t="str">
        <f>""</f>
        <v/>
      </c>
      <c r="BL529" s="5" t="str">
        <f>""</f>
        <v/>
      </c>
      <c r="BM529" s="5" t="str">
        <f>""</f>
        <v/>
      </c>
      <c r="BN529" s="5" t="str">
        <f t="shared" si="765"/>
        <v>нет</v>
      </c>
      <c r="BO529" s="5" t="str">
        <f>""</f>
        <v/>
      </c>
      <c r="BP529" s="5" t="str">
        <f>""</f>
        <v/>
      </c>
      <c r="BQ529" s="5" t="str">
        <f>""</f>
        <v/>
      </c>
      <c r="BR529" s="5" t="str">
        <f>""</f>
        <v/>
      </c>
      <c r="BS529" s="5" t="str">
        <f>"65,00"</f>
        <v>65,00</v>
      </c>
      <c r="BT529" s="5" t="str">
        <f>"2020"</f>
        <v>2020</v>
      </c>
      <c r="BU529" s="5" t="str">
        <f t="shared" si="752"/>
        <v>нет</v>
      </c>
      <c r="BV529" s="5" t="str">
        <f t="shared" si="774"/>
        <v>x</v>
      </c>
      <c r="BW529" s="5" t="str">
        <f t="shared" si="774"/>
        <v>x</v>
      </c>
      <c r="BX529" s="5" t="str">
        <f t="shared" si="774"/>
        <v>x</v>
      </c>
      <c r="BY529" s="5" t="str">
        <f t="shared" si="779"/>
        <v>нет</v>
      </c>
      <c r="BZ529" s="5" t="str">
        <f t="shared" si="780"/>
        <v>x</v>
      </c>
      <c r="CA529" s="5" t="str">
        <f t="shared" si="780"/>
        <v>x</v>
      </c>
      <c r="CB529" s="5" t="str">
        <f t="shared" si="780"/>
        <v>x</v>
      </c>
      <c r="CC529" s="5" t="str">
        <f>""</f>
        <v/>
      </c>
      <c r="CD529" s="5" t="str">
        <f>"47,00"</f>
        <v>47,00</v>
      </c>
      <c r="CE529" s="5" t="str">
        <f>"2032"</f>
        <v>2032</v>
      </c>
      <c r="CF529" s="5" t="str">
        <f>""</f>
        <v/>
      </c>
      <c r="CG529" s="5" t="str">
        <f>"47,00"</f>
        <v>47,00</v>
      </c>
      <c r="CH529" s="5" t="str">
        <f>"2032"</f>
        <v>2032</v>
      </c>
      <c r="CI529" s="5" t="str">
        <f>"60,00"</f>
        <v>60,00</v>
      </c>
      <c r="CJ529" s="5" t="str">
        <f>"2032"</f>
        <v>2032</v>
      </c>
    </row>
    <row r="530" spans="1:88" ht="11.25" customHeight="1">
      <c r="A530" s="3" t="str">
        <f>"1.517"</f>
        <v>1.517</v>
      </c>
      <c r="B530" s="4" t="str">
        <f>"пгт. Вохтога, ул. Ленина, д.8"</f>
        <v>пгт. Вохтога, ул. Ленина, д.8</v>
      </c>
      <c r="C530" s="7" t="str">
        <f>"1971"</f>
        <v>1971</v>
      </c>
      <c r="D530" s="5" t="str">
        <f>""</f>
        <v/>
      </c>
      <c r="E530" s="5" t="str">
        <f>"45,00"</f>
        <v>45,00</v>
      </c>
      <c r="F530" s="5" t="str">
        <f>"2024"</f>
        <v>2024</v>
      </c>
      <c r="G530" s="5" t="str">
        <f t="shared" si="776"/>
        <v>нет</v>
      </c>
      <c r="H530" s="5" t="str">
        <f>""</f>
        <v/>
      </c>
      <c r="I530" s="5" t="str">
        <f>""</f>
        <v/>
      </c>
      <c r="J530" s="5" t="str">
        <f>""</f>
        <v/>
      </c>
      <c r="K530" s="5" t="str">
        <f t="shared" si="777"/>
        <v>нет</v>
      </c>
      <c r="L530" s="5" t="str">
        <f>""</f>
        <v/>
      </c>
      <c r="M530" s="5" t="str">
        <f>""</f>
        <v/>
      </c>
      <c r="N530" s="5" t="str">
        <f>""</f>
        <v/>
      </c>
      <c r="O530" s="8" t="str">
        <f>""</f>
        <v/>
      </c>
      <c r="P530" s="5" t="str">
        <f>"51,00"</f>
        <v>51,00</v>
      </c>
      <c r="Q530" s="5" t="str">
        <f>"2024"</f>
        <v>2024</v>
      </c>
      <c r="R530" s="5" t="str">
        <f t="shared" si="775"/>
        <v>нет</v>
      </c>
      <c r="S530" s="5" t="str">
        <f>""</f>
        <v/>
      </c>
      <c r="T530" s="5" t="str">
        <f>""</f>
        <v/>
      </c>
      <c r="U530" s="5" t="str">
        <f>""</f>
        <v/>
      </c>
      <c r="V530" s="5" t="str">
        <f t="shared" si="761"/>
        <v>нет</v>
      </c>
      <c r="W530" s="5" t="str">
        <f>""</f>
        <v/>
      </c>
      <c r="X530" s="5" t="str">
        <f>""</f>
        <v/>
      </c>
      <c r="Y530" s="9" t="str">
        <f>""</f>
        <v/>
      </c>
      <c r="Z530" s="5" t="str">
        <f>""</f>
        <v/>
      </c>
      <c r="AA530" s="5" t="str">
        <f>""</f>
        <v/>
      </c>
      <c r="AB530" s="5" t="str">
        <f>""</f>
        <v/>
      </c>
      <c r="AC530" s="5" t="str">
        <f>""</f>
        <v/>
      </c>
      <c r="AD530" s="5" t="str">
        <f>""</f>
        <v/>
      </c>
      <c r="AE530" s="5" t="str">
        <f>""</f>
        <v/>
      </c>
      <c r="AF530" s="5" t="str">
        <f>""</f>
        <v/>
      </c>
      <c r="AG530" s="5" t="str">
        <f>""</f>
        <v/>
      </c>
      <c r="AH530" s="5" t="str">
        <f>""</f>
        <v/>
      </c>
      <c r="AI530" s="5" t="str">
        <f>""</f>
        <v/>
      </c>
      <c r="AJ530" s="5" t="str">
        <f>""</f>
        <v/>
      </c>
      <c r="AK530" s="8" t="str">
        <f>""</f>
        <v/>
      </c>
      <c r="AL530" s="5" t="str">
        <f>"55,00"</f>
        <v>55,00</v>
      </c>
      <c r="AM530" s="5" t="str">
        <f>"2024"</f>
        <v>2024</v>
      </c>
      <c r="AN530" s="5" t="str">
        <f t="shared" si="755"/>
        <v>нет</v>
      </c>
      <c r="AO530" s="5" t="str">
        <f>""</f>
        <v/>
      </c>
      <c r="AP530" s="5" t="str">
        <f>""</f>
        <v/>
      </c>
      <c r="AQ530" s="5" t="str">
        <f>""</f>
        <v/>
      </c>
      <c r="AR530" s="5" t="str">
        <f t="shared" si="756"/>
        <v>нет</v>
      </c>
      <c r="AS530" s="5" t="str">
        <f>""</f>
        <v/>
      </c>
      <c r="AT530" s="5" t="str">
        <f>""</f>
        <v/>
      </c>
      <c r="AU530" s="5" t="str">
        <f>""</f>
        <v/>
      </c>
      <c r="AV530" s="5" t="str">
        <f t="shared" si="778"/>
        <v>х</v>
      </c>
      <c r="AW530" s="5" t="str">
        <f t="shared" si="778"/>
        <v>х</v>
      </c>
      <c r="AX530" s="5" t="str">
        <f t="shared" si="778"/>
        <v>х</v>
      </c>
      <c r="AY530" s="5" t="str">
        <f t="shared" si="778"/>
        <v>х</v>
      </c>
      <c r="AZ530" s="5" t="str">
        <f t="shared" si="778"/>
        <v>х</v>
      </c>
      <c r="BA530" s="5" t="str">
        <f t="shared" si="778"/>
        <v>х</v>
      </c>
      <c r="BB530" s="5" t="str">
        <f t="shared" si="778"/>
        <v>х</v>
      </c>
      <c r="BC530" s="5" t="str">
        <f t="shared" si="778"/>
        <v>х</v>
      </c>
      <c r="BD530" s="5" t="str">
        <f t="shared" si="778"/>
        <v>х</v>
      </c>
      <c r="BE530" s="5" t="str">
        <f t="shared" si="778"/>
        <v>х</v>
      </c>
      <c r="BF530" s="5" t="str">
        <f t="shared" si="778"/>
        <v>х</v>
      </c>
      <c r="BG530" s="5" t="str">
        <f>""</f>
        <v/>
      </c>
      <c r="BH530" s="5" t="str">
        <f>"25,00"</f>
        <v>25,00</v>
      </c>
      <c r="BI530" s="5" t="str">
        <f>"2031"</f>
        <v>2031</v>
      </c>
      <c r="BJ530" s="5" t="str">
        <f t="shared" si="764"/>
        <v>нет</v>
      </c>
      <c r="BK530" s="5" t="str">
        <f>""</f>
        <v/>
      </c>
      <c r="BL530" s="5" t="str">
        <f>""</f>
        <v/>
      </c>
      <c r="BM530" s="5" t="str">
        <f>""</f>
        <v/>
      </c>
      <c r="BN530" s="5" t="str">
        <f t="shared" si="765"/>
        <v>нет</v>
      </c>
      <c r="BO530" s="5" t="str">
        <f>""</f>
        <v/>
      </c>
      <c r="BP530" s="5" t="str">
        <f>""</f>
        <v/>
      </c>
      <c r="BQ530" s="5" t="str">
        <f>""</f>
        <v/>
      </c>
      <c r="BR530" s="5" t="str">
        <f>""</f>
        <v/>
      </c>
      <c r="BS530" s="5" t="str">
        <f>"55,00"</f>
        <v>55,00</v>
      </c>
      <c r="BT530" s="5" t="str">
        <f>"2021"</f>
        <v>2021</v>
      </c>
      <c r="BU530" s="5" t="str">
        <f t="shared" si="752"/>
        <v>нет</v>
      </c>
      <c r="BV530" s="5" t="str">
        <f t="shared" si="774"/>
        <v>x</v>
      </c>
      <c r="BW530" s="5" t="str">
        <f t="shared" si="774"/>
        <v>x</v>
      </c>
      <c r="BX530" s="5" t="str">
        <f t="shared" si="774"/>
        <v>x</v>
      </c>
      <c r="BY530" s="5" t="str">
        <f t="shared" si="779"/>
        <v>нет</v>
      </c>
      <c r="BZ530" s="5" t="str">
        <f t="shared" si="780"/>
        <v>x</v>
      </c>
      <c r="CA530" s="5" t="str">
        <f t="shared" si="780"/>
        <v>x</v>
      </c>
      <c r="CB530" s="5" t="str">
        <f t="shared" si="780"/>
        <v>x</v>
      </c>
      <c r="CC530" s="5" t="str">
        <f>""</f>
        <v/>
      </c>
      <c r="CD530" s="5" t="str">
        <f>"55,00"</f>
        <v>55,00</v>
      </c>
      <c r="CE530" s="5" t="str">
        <f>"2024"</f>
        <v>2024</v>
      </c>
      <c r="CF530" s="5" t="str">
        <f>""</f>
        <v/>
      </c>
      <c r="CG530" s="5" t="str">
        <f>"55,00"</f>
        <v>55,00</v>
      </c>
      <c r="CH530" s="5" t="str">
        <f>"2024"</f>
        <v>2024</v>
      </c>
      <c r="CI530" s="5" t="str">
        <f>"51,00"</f>
        <v>51,00</v>
      </c>
      <c r="CJ530" s="5" t="str">
        <f>"2024"</f>
        <v>2024</v>
      </c>
    </row>
    <row r="531" spans="1:88" ht="11.25" customHeight="1">
      <c r="A531" s="3" t="str">
        <f>"1.518"</f>
        <v>1.518</v>
      </c>
      <c r="B531" s="4" t="str">
        <f>"пгт. Вохтога, ул. Ленина, д.8а"</f>
        <v>пгт. Вохтога, ул. Ленина, д.8а</v>
      </c>
      <c r="C531" s="7" t="str">
        <f>"1970"</f>
        <v>1970</v>
      </c>
      <c r="D531" s="5" t="str">
        <f>""</f>
        <v/>
      </c>
      <c r="E531" s="5" t="str">
        <f>"15,00"</f>
        <v>15,00</v>
      </c>
      <c r="F531" s="5" t="str">
        <f>"2035"</f>
        <v>2035</v>
      </c>
      <c r="G531" s="5" t="str">
        <f t="shared" si="776"/>
        <v>нет</v>
      </c>
      <c r="H531" s="5" t="str">
        <f>""</f>
        <v/>
      </c>
      <c r="I531" s="5" t="str">
        <f>""</f>
        <v/>
      </c>
      <c r="J531" s="5" t="str">
        <f>""</f>
        <v/>
      </c>
      <c r="K531" s="5" t="str">
        <f t="shared" si="777"/>
        <v>нет</v>
      </c>
      <c r="L531" s="5" t="str">
        <f>""</f>
        <v/>
      </c>
      <c r="M531" s="5" t="str">
        <f>""</f>
        <v/>
      </c>
      <c r="N531" s="5" t="str">
        <f>""</f>
        <v/>
      </c>
      <c r="O531" s="8" t="str">
        <f>""</f>
        <v/>
      </c>
      <c r="P531" s="5" t="str">
        <f>"25,00"</f>
        <v>25,00</v>
      </c>
      <c r="Q531" s="5" t="str">
        <f>"2035"</f>
        <v>2035</v>
      </c>
      <c r="R531" s="5" t="str">
        <f t="shared" si="775"/>
        <v>нет</v>
      </c>
      <c r="S531" s="5" t="str">
        <f>""</f>
        <v/>
      </c>
      <c r="T531" s="5" t="str">
        <f>""</f>
        <v/>
      </c>
      <c r="U531" s="5" t="str">
        <f>""</f>
        <v/>
      </c>
      <c r="V531" s="5" t="str">
        <f t="shared" si="761"/>
        <v>нет</v>
      </c>
      <c r="W531" s="5" t="str">
        <f>""</f>
        <v/>
      </c>
      <c r="X531" s="5" t="str">
        <f>""</f>
        <v/>
      </c>
      <c r="Y531" s="9" t="str">
        <f>""</f>
        <v/>
      </c>
      <c r="Z531" s="5" t="str">
        <f>""</f>
        <v/>
      </c>
      <c r="AA531" s="5" t="str">
        <f>""</f>
        <v/>
      </c>
      <c r="AB531" s="5" t="str">
        <f>""</f>
        <v/>
      </c>
      <c r="AC531" s="5" t="str">
        <f>""</f>
        <v/>
      </c>
      <c r="AD531" s="5" t="str">
        <f>""</f>
        <v/>
      </c>
      <c r="AE531" s="5" t="str">
        <f>""</f>
        <v/>
      </c>
      <c r="AF531" s="5" t="str">
        <f>""</f>
        <v/>
      </c>
      <c r="AG531" s="5" t="str">
        <f>""</f>
        <v/>
      </c>
      <c r="AH531" s="5" t="str">
        <f>""</f>
        <v/>
      </c>
      <c r="AI531" s="5" t="str">
        <f>""</f>
        <v/>
      </c>
      <c r="AJ531" s="5" t="str">
        <f>""</f>
        <v/>
      </c>
      <c r="AK531" s="8" t="str">
        <f>""</f>
        <v/>
      </c>
      <c r="AL531" s="5" t="str">
        <f>"30,00"</f>
        <v>30,00</v>
      </c>
      <c r="AM531" s="5" t="str">
        <f>"2025"</f>
        <v>2025</v>
      </c>
      <c r="AN531" s="5" t="str">
        <f t="shared" si="755"/>
        <v>нет</v>
      </c>
      <c r="AO531" s="5" t="str">
        <f>""</f>
        <v/>
      </c>
      <c r="AP531" s="5" t="str">
        <f>""</f>
        <v/>
      </c>
      <c r="AQ531" s="5" t="str">
        <f>""</f>
        <v/>
      </c>
      <c r="AR531" s="5" t="str">
        <f t="shared" si="756"/>
        <v>нет</v>
      </c>
      <c r="AS531" s="5" t="str">
        <f>""</f>
        <v/>
      </c>
      <c r="AT531" s="5" t="str">
        <f>""</f>
        <v/>
      </c>
      <c r="AU531" s="5" t="str">
        <f>""</f>
        <v/>
      </c>
      <c r="AV531" s="5" t="str">
        <f t="shared" si="778"/>
        <v>х</v>
      </c>
      <c r="AW531" s="5" t="str">
        <f t="shared" si="778"/>
        <v>х</v>
      </c>
      <c r="AX531" s="5" t="str">
        <f t="shared" si="778"/>
        <v>х</v>
      </c>
      <c r="AY531" s="5" t="str">
        <f t="shared" si="778"/>
        <v>х</v>
      </c>
      <c r="AZ531" s="5" t="str">
        <f t="shared" si="778"/>
        <v>х</v>
      </c>
      <c r="BA531" s="5" t="str">
        <f t="shared" si="778"/>
        <v>х</v>
      </c>
      <c r="BB531" s="5" t="str">
        <f t="shared" si="778"/>
        <v>х</v>
      </c>
      <c r="BC531" s="5" t="str">
        <f t="shared" si="778"/>
        <v>х</v>
      </c>
      <c r="BD531" s="5" t="str">
        <f t="shared" si="778"/>
        <v>х</v>
      </c>
      <c r="BE531" s="5" t="str">
        <f t="shared" si="778"/>
        <v>х</v>
      </c>
      <c r="BF531" s="5" t="str">
        <f t="shared" si="778"/>
        <v>х</v>
      </c>
      <c r="BG531" s="5" t="str">
        <f>""</f>
        <v/>
      </c>
      <c r="BH531" s="5" t="str">
        <f>"10,00"</f>
        <v>10,00</v>
      </c>
      <c r="BI531" s="5" t="str">
        <f>"2040"</f>
        <v>2040</v>
      </c>
      <c r="BJ531" s="5" t="str">
        <f t="shared" si="764"/>
        <v>нет</v>
      </c>
      <c r="BK531" s="5" t="str">
        <f>""</f>
        <v/>
      </c>
      <c r="BL531" s="5" t="str">
        <f>""</f>
        <v/>
      </c>
      <c r="BM531" s="5" t="str">
        <f>""</f>
        <v/>
      </c>
      <c r="BN531" s="5" t="str">
        <f t="shared" si="765"/>
        <v>нет</v>
      </c>
      <c r="BO531" s="5" t="str">
        <f>""</f>
        <v/>
      </c>
      <c r="BP531" s="5" t="str">
        <f>""</f>
        <v/>
      </c>
      <c r="BQ531" s="5" t="str">
        <f>""</f>
        <v/>
      </c>
      <c r="BR531" s="5" t="str">
        <f>""</f>
        <v/>
      </c>
      <c r="BS531" s="5" t="str">
        <f>"65,00"</f>
        <v>65,00</v>
      </c>
      <c r="BT531" s="5" t="str">
        <f>"2019"</f>
        <v>2019</v>
      </c>
      <c r="BU531" s="5" t="str">
        <f t="shared" si="752"/>
        <v>нет</v>
      </c>
      <c r="BV531" s="5" t="str">
        <f t="shared" si="774"/>
        <v>x</v>
      </c>
      <c r="BW531" s="5" t="str">
        <f t="shared" si="774"/>
        <v>x</v>
      </c>
      <c r="BX531" s="5" t="str">
        <f t="shared" si="774"/>
        <v>x</v>
      </c>
      <c r="BY531" s="5" t="str">
        <f t="shared" si="779"/>
        <v>нет</v>
      </c>
      <c r="BZ531" s="5" t="str">
        <f t="shared" si="780"/>
        <v>x</v>
      </c>
      <c r="CA531" s="5" t="str">
        <f t="shared" si="780"/>
        <v>x</v>
      </c>
      <c r="CB531" s="5" t="str">
        <f t="shared" si="780"/>
        <v>x</v>
      </c>
      <c r="CC531" s="5" t="str">
        <f>""</f>
        <v/>
      </c>
      <c r="CD531" s="5" t="str">
        <f>"55,00"</f>
        <v>55,00</v>
      </c>
      <c r="CE531" s="5" t="str">
        <f>"2019"</f>
        <v>2019</v>
      </c>
      <c r="CF531" s="5" t="str">
        <f>""</f>
        <v/>
      </c>
      <c r="CG531" s="5" t="str">
        <f>"49,00"</f>
        <v>49,00</v>
      </c>
      <c r="CH531" s="5" t="str">
        <f>"2019"</f>
        <v>2019</v>
      </c>
      <c r="CI531" s="5" t="str">
        <f>"40,00"</f>
        <v>40,00</v>
      </c>
      <c r="CJ531" s="5" t="str">
        <f>"2019"</f>
        <v>2019</v>
      </c>
    </row>
    <row r="532" spans="1:88" ht="11.25" customHeight="1">
      <c r="A532" s="3" t="str">
        <f>"1.519"</f>
        <v>1.519</v>
      </c>
      <c r="B532" s="4" t="str">
        <f>"пгт. Вохтога, ул. Линейная, д.19"</f>
        <v>пгт. Вохтога, ул. Линейная, д.19</v>
      </c>
      <c r="C532" s="7" t="str">
        <f>"1967"</f>
        <v>1967</v>
      </c>
      <c r="D532" s="5" t="str">
        <f>""</f>
        <v/>
      </c>
      <c r="E532" s="5" t="str">
        <f>"68,00"</f>
        <v>68,00</v>
      </c>
      <c r="F532" s="5" t="str">
        <f>"2020"</f>
        <v>2020</v>
      </c>
      <c r="G532" s="5" t="str">
        <f t="shared" ref="G532:G537" si="782">"да"</f>
        <v>да</v>
      </c>
      <c r="H532" s="5" t="str">
        <f>"2010"</f>
        <v>2010</v>
      </c>
      <c r="I532" s="5" t="str">
        <f>"10,00"</f>
        <v>10,00</v>
      </c>
      <c r="J532" s="5" t="str">
        <f>"2020"</f>
        <v>2020</v>
      </c>
      <c r="K532" s="5" t="str">
        <f>"да"</f>
        <v>да</v>
      </c>
      <c r="L532" s="5" t="str">
        <f>""</f>
        <v/>
      </c>
      <c r="M532" s="5" t="str">
        <f>"60,00"</f>
        <v>60,00</v>
      </c>
      <c r="N532" s="5" t="str">
        <f>"2020"</f>
        <v>2020</v>
      </c>
      <c r="O532" s="8" t="str">
        <f>""</f>
        <v/>
      </c>
      <c r="P532" s="5" t="str">
        <f>"61,00"</f>
        <v>61,00</v>
      </c>
      <c r="Q532" s="5" t="str">
        <f>"2019"</f>
        <v>2019</v>
      </c>
      <c r="R532" s="5" t="str">
        <f t="shared" si="775"/>
        <v>нет</v>
      </c>
      <c r="S532" s="5" t="str">
        <f>""</f>
        <v/>
      </c>
      <c r="T532" s="5" t="str">
        <f>""</f>
        <v/>
      </c>
      <c r="U532" s="5" t="str">
        <f>""</f>
        <v/>
      </c>
      <c r="V532" s="5" t="str">
        <f t="shared" si="761"/>
        <v>нет</v>
      </c>
      <c r="W532" s="5" t="str">
        <f>""</f>
        <v/>
      </c>
      <c r="X532" s="5" t="str">
        <f>""</f>
        <v/>
      </c>
      <c r="Y532" s="9" t="str">
        <f>""</f>
        <v/>
      </c>
      <c r="Z532" s="5" t="str">
        <f>""</f>
        <v/>
      </c>
      <c r="AA532" s="5" t="str">
        <f>""</f>
        <v/>
      </c>
      <c r="AB532" s="5" t="str">
        <f>""</f>
        <v/>
      </c>
      <c r="AC532" s="5" t="str">
        <f>""</f>
        <v/>
      </c>
      <c r="AD532" s="5" t="str">
        <f>""</f>
        <v/>
      </c>
      <c r="AE532" s="5" t="str">
        <f>""</f>
        <v/>
      </c>
      <c r="AF532" s="5" t="str">
        <f>""</f>
        <v/>
      </c>
      <c r="AG532" s="5" t="str">
        <f>""</f>
        <v/>
      </c>
      <c r="AH532" s="5" t="str">
        <f>""</f>
        <v/>
      </c>
      <c r="AI532" s="5" t="str">
        <f>""</f>
        <v/>
      </c>
      <c r="AJ532" s="5" t="str">
        <f>""</f>
        <v/>
      </c>
      <c r="AK532" s="8" t="str">
        <f>""</f>
        <v/>
      </c>
      <c r="AL532" s="5" t="str">
        <f>"65,00"</f>
        <v>65,00</v>
      </c>
      <c r="AM532" s="5" t="str">
        <f>"2024"</f>
        <v>2024</v>
      </c>
      <c r="AN532" s="5" t="str">
        <f t="shared" si="755"/>
        <v>нет</v>
      </c>
      <c r="AO532" s="5" t="str">
        <f>""</f>
        <v/>
      </c>
      <c r="AP532" s="5" t="str">
        <f>""</f>
        <v/>
      </c>
      <c r="AQ532" s="5" t="str">
        <f>""</f>
        <v/>
      </c>
      <c r="AR532" s="5" t="str">
        <f t="shared" si="756"/>
        <v>нет</v>
      </c>
      <c r="AS532" s="5" t="str">
        <f>""</f>
        <v/>
      </c>
      <c r="AT532" s="5" t="str">
        <f>""</f>
        <v/>
      </c>
      <c r="AU532" s="5" t="str">
        <f>""</f>
        <v/>
      </c>
      <c r="AV532" s="5" t="str">
        <f t="shared" si="778"/>
        <v>х</v>
      </c>
      <c r="AW532" s="5" t="str">
        <f t="shared" si="778"/>
        <v>х</v>
      </c>
      <c r="AX532" s="5" t="str">
        <f t="shared" si="778"/>
        <v>х</v>
      </c>
      <c r="AY532" s="5" t="str">
        <f t="shared" si="778"/>
        <v>х</v>
      </c>
      <c r="AZ532" s="5" t="str">
        <f t="shared" si="778"/>
        <v>х</v>
      </c>
      <c r="BA532" s="5" t="str">
        <f t="shared" si="778"/>
        <v>х</v>
      </c>
      <c r="BB532" s="5" t="str">
        <f t="shared" si="778"/>
        <v>х</v>
      </c>
      <c r="BC532" s="5" t="str">
        <f t="shared" si="778"/>
        <v>х</v>
      </c>
      <c r="BD532" s="5" t="str">
        <f t="shared" si="778"/>
        <v>х</v>
      </c>
      <c r="BE532" s="5" t="str">
        <f t="shared" si="778"/>
        <v>х</v>
      </c>
      <c r="BF532" s="5" t="str">
        <f t="shared" si="778"/>
        <v>х</v>
      </c>
      <c r="BG532" s="5" t="str">
        <f>""</f>
        <v/>
      </c>
      <c r="BH532" s="5" t="str">
        <f>""</f>
        <v/>
      </c>
      <c r="BI532" s="5" t="str">
        <f>""</f>
        <v/>
      </c>
      <c r="BJ532" s="5" t="str">
        <f>""</f>
        <v/>
      </c>
      <c r="BK532" s="5" t="str">
        <f>""</f>
        <v/>
      </c>
      <c r="BL532" s="5" t="str">
        <f>""</f>
        <v/>
      </c>
      <c r="BM532" s="5" t="str">
        <f>""</f>
        <v/>
      </c>
      <c r="BN532" s="5" t="str">
        <f>""</f>
        <v/>
      </c>
      <c r="BO532" s="5" t="str">
        <f>""</f>
        <v/>
      </c>
      <c r="BP532" s="5" t="str">
        <f>""</f>
        <v/>
      </c>
      <c r="BQ532" s="5" t="str">
        <f>""</f>
        <v/>
      </c>
      <c r="BR532" s="5" t="str">
        <f>""</f>
        <v/>
      </c>
      <c r="BS532" s="5" t="str">
        <f>"62,00"</f>
        <v>62,00</v>
      </c>
      <c r="BT532" s="5" t="str">
        <f>"2017"</f>
        <v>2017</v>
      </c>
      <c r="BU532" s="5" t="str">
        <f t="shared" si="752"/>
        <v>нет</v>
      </c>
      <c r="BV532" s="5" t="str">
        <f t="shared" si="774"/>
        <v>x</v>
      </c>
      <c r="BW532" s="5" t="str">
        <f t="shared" si="774"/>
        <v>x</v>
      </c>
      <c r="BX532" s="5" t="str">
        <f t="shared" si="774"/>
        <v>x</v>
      </c>
      <c r="BY532" s="5" t="str">
        <f t="shared" si="779"/>
        <v>нет</v>
      </c>
      <c r="BZ532" s="5" t="str">
        <f t="shared" si="780"/>
        <v>x</v>
      </c>
      <c r="CA532" s="5" t="str">
        <f t="shared" si="780"/>
        <v>x</v>
      </c>
      <c r="CB532" s="5" t="str">
        <f t="shared" si="780"/>
        <v>x</v>
      </c>
      <c r="CC532" s="5" t="str">
        <f>""</f>
        <v/>
      </c>
      <c r="CD532" s="5" t="str">
        <f>"62,00"</f>
        <v>62,00</v>
      </c>
      <c r="CE532" s="5" t="str">
        <f>"2020"</f>
        <v>2020</v>
      </c>
      <c r="CF532" s="5" t="str">
        <f>""</f>
        <v/>
      </c>
      <c r="CG532" s="5" t="str">
        <f>"64,00"</f>
        <v>64,00</v>
      </c>
      <c r="CH532" s="5" t="str">
        <f>"2020"</f>
        <v>2020</v>
      </c>
      <c r="CI532" s="5" t="str">
        <f>"61,00"</f>
        <v>61,00</v>
      </c>
      <c r="CJ532" s="5" t="str">
        <f>"2020"</f>
        <v>2020</v>
      </c>
    </row>
    <row r="533" spans="1:88" ht="11.25" customHeight="1">
      <c r="A533" s="3" t="str">
        <f>"1.520"</f>
        <v>1.520</v>
      </c>
      <c r="B533" s="4" t="str">
        <f>"пгт. Вохтога, ул. Линейная, д.19А"</f>
        <v>пгт. Вохтога, ул. Линейная, д.19А</v>
      </c>
      <c r="C533" s="7" t="str">
        <f>"2003"</f>
        <v>2003</v>
      </c>
      <c r="D533" s="5" t="str">
        <f>""</f>
        <v/>
      </c>
      <c r="E533" s="5" t="str">
        <f>"5,00"</f>
        <v>5,00</v>
      </c>
      <c r="F533" s="5" t="str">
        <f>"2028"</f>
        <v>2028</v>
      </c>
      <c r="G533" s="5" t="str">
        <f t="shared" si="782"/>
        <v>да</v>
      </c>
      <c r="H533" s="5" t="str">
        <f>"2010"</f>
        <v>2010</v>
      </c>
      <c r="I533" s="5" t="str">
        <f>"5,00"</f>
        <v>5,00</v>
      </c>
      <c r="J533" s="5" t="str">
        <f>"2028"</f>
        <v>2028</v>
      </c>
      <c r="K533" s="5" t="str">
        <f>"да"</f>
        <v>да</v>
      </c>
      <c r="L533" s="5" t="str">
        <f>""</f>
        <v/>
      </c>
      <c r="M533" s="5" t="str">
        <f>"5,00"</f>
        <v>5,00</v>
      </c>
      <c r="N533" s="5" t="str">
        <f>"2028"</f>
        <v>2028</v>
      </c>
      <c r="O533" s="8" t="str">
        <f>""</f>
        <v/>
      </c>
      <c r="P533" s="5" t="str">
        <f>"5,00"</f>
        <v>5,00</v>
      </c>
      <c r="Q533" s="5" t="str">
        <f>"2030"</f>
        <v>2030</v>
      </c>
      <c r="R533" s="5" t="str">
        <f>"да"</f>
        <v>да</v>
      </c>
      <c r="S533" s="5" t="str">
        <f>"2008"</f>
        <v>2008</v>
      </c>
      <c r="T533" s="5" t="str">
        <f>"65,00"</f>
        <v>65,00</v>
      </c>
      <c r="U533" s="5" t="str">
        <f>"2030"</f>
        <v>2030</v>
      </c>
      <c r="V533" s="5" t="str">
        <f>"да"</f>
        <v>да</v>
      </c>
      <c r="W533" s="5" t="str">
        <f>""</f>
        <v/>
      </c>
      <c r="X533" s="5" t="str">
        <f>"5,00"</f>
        <v>5,00</v>
      </c>
      <c r="Y533" s="9" t="str">
        <f>"2030"</f>
        <v>2030</v>
      </c>
      <c r="Z533" s="5" t="str">
        <f>""</f>
        <v/>
      </c>
      <c r="AA533" s="5" t="str">
        <f>"2,00"</f>
        <v>2,00</v>
      </c>
      <c r="AB533" s="5" t="str">
        <f>"2044"</f>
        <v>2044</v>
      </c>
      <c r="AC533" s="5" t="str">
        <f>"нет"</f>
        <v>нет</v>
      </c>
      <c r="AD533" s="5" t="str">
        <f>""</f>
        <v/>
      </c>
      <c r="AE533" s="5" t="str">
        <f>""</f>
        <v/>
      </c>
      <c r="AF533" s="5" t="str">
        <f>""</f>
        <v/>
      </c>
      <c r="AG533" s="5" t="str">
        <f>"нет"</f>
        <v>нет</v>
      </c>
      <c r="AH533" s="5" t="str">
        <f>""</f>
        <v/>
      </c>
      <c r="AI533" s="5" t="str">
        <f>""</f>
        <v/>
      </c>
      <c r="AJ533" s="5" t="str">
        <f>""</f>
        <v/>
      </c>
      <c r="AK533" s="8" t="str">
        <f>""</f>
        <v/>
      </c>
      <c r="AL533" s="5" t="str">
        <f>"10,00"</f>
        <v>10,00</v>
      </c>
      <c r="AM533" s="5" t="str">
        <f>"2026"</f>
        <v>2026</v>
      </c>
      <c r="AN533" s="5" t="str">
        <f>"да"</f>
        <v>да</v>
      </c>
      <c r="AO533" s="5" t="str">
        <f>""</f>
        <v/>
      </c>
      <c r="AP533" s="5" t="str">
        <f>"12,00"</f>
        <v>12,00</v>
      </c>
      <c r="AQ533" s="5" t="str">
        <f>"2026"</f>
        <v>2026</v>
      </c>
      <c r="AR533" s="5" t="str">
        <f>"да"</f>
        <v>да</v>
      </c>
      <c r="AS533" s="5" t="str">
        <f>""</f>
        <v/>
      </c>
      <c r="AT533" s="5" t="str">
        <f>"8,00"</f>
        <v>8,00</v>
      </c>
      <c r="AU533" s="5" t="str">
        <f>"2026"</f>
        <v>2026</v>
      </c>
      <c r="AV533" s="5" t="str">
        <f>""</f>
        <v/>
      </c>
      <c r="AW533" s="5" t="str">
        <f>"10,00"</f>
        <v>10,00</v>
      </c>
      <c r="AX533" s="5" t="str">
        <f>"2026"</f>
        <v>2026</v>
      </c>
      <c r="AY533" s="5" t="str">
        <f>"нет"</f>
        <v>нет</v>
      </c>
      <c r="AZ533" s="5" t="str">
        <f>""</f>
        <v/>
      </c>
      <c r="BA533" s="5" t="str">
        <f>""</f>
        <v/>
      </c>
      <c r="BB533" s="5" t="str">
        <f>""</f>
        <v/>
      </c>
      <c r="BC533" s="5" t="str">
        <f>"да"</f>
        <v>да</v>
      </c>
      <c r="BD533" s="5" t="str">
        <f>""</f>
        <v/>
      </c>
      <c r="BE533" s="5" t="str">
        <f>"10,00"</f>
        <v>10,00</v>
      </c>
      <c r="BF533" s="5" t="str">
        <f>"2026"</f>
        <v>2026</v>
      </c>
      <c r="BG533" s="5" t="str">
        <f>""</f>
        <v/>
      </c>
      <c r="BH533" s="5" t="str">
        <f>"5,00"</f>
        <v>5,00</v>
      </c>
      <c r="BI533" s="5" t="str">
        <f>"2034"</f>
        <v>2034</v>
      </c>
      <c r="BJ533" s="5" t="str">
        <f t="shared" ref="BJ533:BJ546" si="783">"нет"</f>
        <v>нет</v>
      </c>
      <c r="BK533" s="5" t="str">
        <f>""</f>
        <v/>
      </c>
      <c r="BL533" s="5" t="str">
        <f>""</f>
        <v/>
      </c>
      <c r="BM533" s="5" t="str">
        <f>""</f>
        <v/>
      </c>
      <c r="BN533" s="5" t="str">
        <f t="shared" ref="BN533:BN546" si="784">"нет"</f>
        <v>нет</v>
      </c>
      <c r="BO533" s="5" t="str">
        <f>""</f>
        <v/>
      </c>
      <c r="BP533" s="5" t="str">
        <f>""</f>
        <v/>
      </c>
      <c r="BQ533" s="5" t="str">
        <f>""</f>
        <v/>
      </c>
      <c r="BR533" s="5" t="str">
        <f>""</f>
        <v/>
      </c>
      <c r="BS533" s="5" t="str">
        <f>"40,00"</f>
        <v>40,00</v>
      </c>
      <c r="BT533" s="5" t="str">
        <f>"2023"</f>
        <v>2023</v>
      </c>
      <c r="BU533" s="5" t="str">
        <f t="shared" si="752"/>
        <v>нет</v>
      </c>
      <c r="BV533" s="5" t="str">
        <f t="shared" si="774"/>
        <v>x</v>
      </c>
      <c r="BW533" s="5" t="str">
        <f t="shared" si="774"/>
        <v>x</v>
      </c>
      <c r="BX533" s="5" t="str">
        <f t="shared" si="774"/>
        <v>x</v>
      </c>
      <c r="BY533" s="5" t="str">
        <f>"да"</f>
        <v>да</v>
      </c>
      <c r="BZ533" s="5" t="str">
        <f>""</f>
        <v/>
      </c>
      <c r="CA533" s="5" t="str">
        <f>"5,00"</f>
        <v>5,00</v>
      </c>
      <c r="CB533" s="5" t="str">
        <f>"2044"</f>
        <v>2044</v>
      </c>
      <c r="CC533" s="5" t="str">
        <f>""</f>
        <v/>
      </c>
      <c r="CD533" s="5" t="str">
        <f>"5,00"</f>
        <v>5,00</v>
      </c>
      <c r="CE533" s="5" t="str">
        <f>"2044"</f>
        <v>2044</v>
      </c>
      <c r="CF533" s="5" t="str">
        <f>""</f>
        <v/>
      </c>
      <c r="CG533" s="5" t="str">
        <f>"5,00"</f>
        <v>5,00</v>
      </c>
      <c r="CH533" s="5" t="str">
        <f>"2044"</f>
        <v>2044</v>
      </c>
      <c r="CI533" s="5" t="str">
        <f>"10,00"</f>
        <v>10,00</v>
      </c>
      <c r="CJ533" s="5" t="str">
        <f>"2030"</f>
        <v>2030</v>
      </c>
    </row>
    <row r="534" spans="1:88" ht="11.25" customHeight="1">
      <c r="A534" s="3" t="str">
        <f>"1.521"</f>
        <v>1.521</v>
      </c>
      <c r="B534" s="4" t="str">
        <f>"пгт. Вохтога, ул. Линейная, д.19б"</f>
        <v>пгт. Вохтога, ул. Линейная, д.19б</v>
      </c>
      <c r="C534" s="7" t="str">
        <f>"2013"</f>
        <v>2013</v>
      </c>
      <c r="D534" s="5" t="str">
        <f>""</f>
        <v/>
      </c>
      <c r="E534" s="5" t="str">
        <f>"0,00"</f>
        <v>0,00</v>
      </c>
      <c r="F534" s="5" t="str">
        <f>"2040"</f>
        <v>2040</v>
      </c>
      <c r="G534" s="5" t="str">
        <f t="shared" si="782"/>
        <v>да</v>
      </c>
      <c r="H534" s="5" t="str">
        <f>"2010"</f>
        <v>2010</v>
      </c>
      <c r="I534" s="5" t="str">
        <f>"0,00"</f>
        <v>0,00</v>
      </c>
      <c r="J534" s="5" t="str">
        <f>"2020"</f>
        <v>2020</v>
      </c>
      <c r="K534" s="5" t="str">
        <f>"да"</f>
        <v>да</v>
      </c>
      <c r="L534" s="5" t="str">
        <f>""</f>
        <v/>
      </c>
      <c r="M534" s="5" t="str">
        <f>"0,00"</f>
        <v>0,00</v>
      </c>
      <c r="N534" s="5" t="str">
        <f>"2035"</f>
        <v>2035</v>
      </c>
      <c r="O534" s="8" t="str">
        <f>""</f>
        <v/>
      </c>
      <c r="P534" s="5" t="str">
        <f>"0,00"</f>
        <v>0,00</v>
      </c>
      <c r="Q534" s="5" t="str">
        <f>"2040"</f>
        <v>2040</v>
      </c>
      <c r="R534" s="5" t="str">
        <f>"да"</f>
        <v>да</v>
      </c>
      <c r="S534" s="5" t="str">
        <f>"2013"</f>
        <v>2013</v>
      </c>
      <c r="T534" s="5" t="str">
        <f>"0,00"</f>
        <v>0,00</v>
      </c>
      <c r="U534" s="5" t="str">
        <f>"2017"</f>
        <v>2017</v>
      </c>
      <c r="V534" s="5" t="str">
        <f>"да"</f>
        <v>да</v>
      </c>
      <c r="W534" s="5" t="str">
        <f>""</f>
        <v/>
      </c>
      <c r="X534" s="5" t="str">
        <f>"0,00"</f>
        <v>0,00</v>
      </c>
      <c r="Y534" s="9" t="str">
        <f>"2040"</f>
        <v>2040</v>
      </c>
      <c r="Z534" s="5" t="str">
        <f>""</f>
        <v/>
      </c>
      <c r="AA534" s="5" t="str">
        <f>"0,00"</f>
        <v>0,00</v>
      </c>
      <c r="AB534" s="5" t="str">
        <f>"2040"</f>
        <v>2040</v>
      </c>
      <c r="AC534" s="5" t="str">
        <f>"нет"</f>
        <v>нет</v>
      </c>
      <c r="AD534" s="5" t="str">
        <f>""</f>
        <v/>
      </c>
      <c r="AE534" s="5" t="str">
        <f>"0,00"</f>
        <v>0,00</v>
      </c>
      <c r="AF534" s="5" t="str">
        <f>""</f>
        <v/>
      </c>
      <c r="AG534" s="5" t="str">
        <f>"нет"</f>
        <v>нет</v>
      </c>
      <c r="AH534" s="5" t="str">
        <f>""</f>
        <v/>
      </c>
      <c r="AI534" s="5" t="str">
        <f>""</f>
        <v/>
      </c>
      <c r="AJ534" s="5" t="str">
        <f>""</f>
        <v/>
      </c>
      <c r="AK534" s="8" t="str">
        <f>""</f>
        <v/>
      </c>
      <c r="AL534" s="5" t="str">
        <f>"0,00"</f>
        <v>0,00</v>
      </c>
      <c r="AM534" s="5" t="str">
        <f>"2035"</f>
        <v>2035</v>
      </c>
      <c r="AN534" s="5" t="str">
        <f>"да"</f>
        <v>да</v>
      </c>
      <c r="AO534" s="5" t="str">
        <f>"2013"</f>
        <v>2013</v>
      </c>
      <c r="AP534" s="5" t="str">
        <f>"0,00"</f>
        <v>0,00</v>
      </c>
      <c r="AQ534" s="5" t="str">
        <f>"2020"</f>
        <v>2020</v>
      </c>
      <c r="AR534" s="5" t="str">
        <f t="shared" ref="AR534:AR565" si="785">"нет"</f>
        <v>нет</v>
      </c>
      <c r="AS534" s="5" t="str">
        <f>""</f>
        <v/>
      </c>
      <c r="AT534" s="5" t="str">
        <f>""</f>
        <v/>
      </c>
      <c r="AU534" s="5" t="str">
        <f>""</f>
        <v/>
      </c>
      <c r="AV534" s="5" t="str">
        <f>""</f>
        <v/>
      </c>
      <c r="AW534" s="5" t="str">
        <f>"0,00"</f>
        <v>0,00</v>
      </c>
      <c r="AX534" s="5" t="str">
        <f>"2040"</f>
        <v>2040</v>
      </c>
      <c r="AY534" s="5" t="str">
        <f>"нет"</f>
        <v>нет</v>
      </c>
      <c r="AZ534" s="5" t="str">
        <f>""</f>
        <v/>
      </c>
      <c r="BA534" s="5" t="str">
        <f>""</f>
        <v/>
      </c>
      <c r="BB534" s="5" t="str">
        <f>""</f>
        <v/>
      </c>
      <c r="BC534" s="5" t="str">
        <f>"да"</f>
        <v>да</v>
      </c>
      <c r="BD534" s="5" t="str">
        <f>""</f>
        <v/>
      </c>
      <c r="BE534" s="5" t="str">
        <f>"0,00"</f>
        <v>0,00</v>
      </c>
      <c r="BF534" s="5" t="str">
        <f>"2040"</f>
        <v>2040</v>
      </c>
      <c r="BG534" s="5" t="str">
        <f>""</f>
        <v/>
      </c>
      <c r="BH534" s="5" t="str">
        <f>"0,00"</f>
        <v>0,00</v>
      </c>
      <c r="BI534" s="5" t="str">
        <f>"2041"</f>
        <v>2041</v>
      </c>
      <c r="BJ534" s="5" t="str">
        <f t="shared" si="783"/>
        <v>нет</v>
      </c>
      <c r="BK534" s="5" t="str">
        <f>""</f>
        <v/>
      </c>
      <c r="BL534" s="5" t="str">
        <f>""</f>
        <v/>
      </c>
      <c r="BM534" s="5" t="str">
        <f>""</f>
        <v/>
      </c>
      <c r="BN534" s="5" t="str">
        <f t="shared" si="784"/>
        <v>нет</v>
      </c>
      <c r="BO534" s="5" t="str">
        <f>""</f>
        <v/>
      </c>
      <c r="BP534" s="5" t="str">
        <f>""</f>
        <v/>
      </c>
      <c r="BQ534" s="5" t="str">
        <f>""</f>
        <v/>
      </c>
      <c r="BR534" s="5" t="str">
        <f>""</f>
        <v/>
      </c>
      <c r="BS534" s="5" t="str">
        <f>"0,00"</f>
        <v>0,00</v>
      </c>
      <c r="BT534" s="5" t="str">
        <f>"2035"</f>
        <v>2035</v>
      </c>
      <c r="BU534" s="5" t="str">
        <f t="shared" si="752"/>
        <v>нет</v>
      </c>
      <c r="BV534" s="5" t="str">
        <f t="shared" si="774"/>
        <v>x</v>
      </c>
      <c r="BW534" s="5" t="str">
        <f t="shared" si="774"/>
        <v>x</v>
      </c>
      <c r="BX534" s="5" t="str">
        <f t="shared" si="774"/>
        <v>x</v>
      </c>
      <c r="BY534" s="5" t="str">
        <f>"нет"</f>
        <v>нет</v>
      </c>
      <c r="BZ534" s="5" t="str">
        <f>"x"</f>
        <v>x</v>
      </c>
      <c r="CA534" s="5" t="str">
        <f>"x"</f>
        <v>x</v>
      </c>
      <c r="CB534" s="5" t="str">
        <f>"x"</f>
        <v>x</v>
      </c>
      <c r="CC534" s="5" t="str">
        <f>""</f>
        <v/>
      </c>
      <c r="CD534" s="5" t="str">
        <f>"0,00"</f>
        <v>0,00</v>
      </c>
      <c r="CE534" s="5" t="str">
        <f>"2030"</f>
        <v>2030</v>
      </c>
      <c r="CF534" s="5" t="str">
        <f>""</f>
        <v/>
      </c>
      <c r="CG534" s="5" t="str">
        <f>"0,00"</f>
        <v>0,00</v>
      </c>
      <c r="CH534" s="5" t="str">
        <f>"2030"</f>
        <v>2030</v>
      </c>
      <c r="CI534" s="5" t="str">
        <f>""</f>
        <v/>
      </c>
      <c r="CJ534" s="5" t="str">
        <f>"2030"</f>
        <v>2030</v>
      </c>
    </row>
    <row r="535" spans="1:88" ht="11.25" customHeight="1">
      <c r="A535" s="3" t="str">
        <f>"1.522"</f>
        <v>1.522</v>
      </c>
      <c r="B535" s="4" t="str">
        <f>"пгт. Вохтога, ул. Линейная, д.20"</f>
        <v>пгт. Вохтога, ул. Линейная, д.20</v>
      </c>
      <c r="C535" s="7" t="str">
        <f>"1977"</f>
        <v>1977</v>
      </c>
      <c r="D535" s="5" t="str">
        <f>""</f>
        <v/>
      </c>
      <c r="E535" s="5" t="str">
        <f>"65,00"</f>
        <v>65,00</v>
      </c>
      <c r="F535" s="5" t="str">
        <f>"2020"</f>
        <v>2020</v>
      </c>
      <c r="G535" s="5" t="str">
        <f t="shared" si="782"/>
        <v>да</v>
      </c>
      <c r="H535" s="5" t="str">
        <f>"2010"</f>
        <v>2010</v>
      </c>
      <c r="I535" s="5" t="str">
        <f>"10,00"</f>
        <v>10,00</v>
      </c>
      <c r="J535" s="5" t="str">
        <f>"2020"</f>
        <v>2020</v>
      </c>
      <c r="K535" s="5" t="str">
        <f>"да"</f>
        <v>да</v>
      </c>
      <c r="L535" s="5" t="str">
        <f>""</f>
        <v/>
      </c>
      <c r="M535" s="5" t="str">
        <f>"65,00"</f>
        <v>65,00</v>
      </c>
      <c r="N535" s="5" t="str">
        <f>"2020"</f>
        <v>2020</v>
      </c>
      <c r="O535" s="8" t="str">
        <f>""</f>
        <v/>
      </c>
      <c r="P535" s="5" t="str">
        <f>"63,00"</f>
        <v>63,00</v>
      </c>
      <c r="Q535" s="5" t="str">
        <f>"2021"</f>
        <v>2021</v>
      </c>
      <c r="R535" s="5" t="str">
        <f t="shared" ref="R535:R546" si="786">"нет"</f>
        <v>нет</v>
      </c>
      <c r="S535" s="5" t="str">
        <f>""</f>
        <v/>
      </c>
      <c r="T535" s="5" t="str">
        <f>""</f>
        <v/>
      </c>
      <c r="U535" s="5" t="str">
        <f>""</f>
        <v/>
      </c>
      <c r="V535" s="5" t="str">
        <f t="shared" ref="V535:V546" si="787">"нет"</f>
        <v>нет</v>
      </c>
      <c r="W535" s="5" t="str">
        <f>""</f>
        <v/>
      </c>
      <c r="X535" s="5" t="str">
        <f>""</f>
        <v/>
      </c>
      <c r="Y535" s="9" t="str">
        <f>""</f>
        <v/>
      </c>
      <c r="Z535" s="5" t="str">
        <f>""</f>
        <v/>
      </c>
      <c r="AA535" s="5" t="str">
        <f>"10,00"</f>
        <v>10,00</v>
      </c>
      <c r="AB535" s="5" t="str">
        <f>"2030"</f>
        <v>2030</v>
      </c>
      <c r="AC535" s="5" t="str">
        <f>"нет"</f>
        <v>нет</v>
      </c>
      <c r="AD535" s="5" t="str">
        <f>""</f>
        <v/>
      </c>
      <c r="AE535" s="5" t="str">
        <f>""</f>
        <v/>
      </c>
      <c r="AF535" s="5" t="str">
        <f>""</f>
        <v/>
      </c>
      <c r="AG535" s="5" t="str">
        <f>"нет"</f>
        <v>нет</v>
      </c>
      <c r="AH535" s="5" t="str">
        <f>""</f>
        <v/>
      </c>
      <c r="AI535" s="5" t="str">
        <f>""</f>
        <v/>
      </c>
      <c r="AJ535" s="5" t="str">
        <f>""</f>
        <v/>
      </c>
      <c r="AK535" s="8" t="str">
        <f>""</f>
        <v/>
      </c>
      <c r="AL535" s="5" t="str">
        <f>"52,00"</f>
        <v>52,00</v>
      </c>
      <c r="AM535" s="5" t="str">
        <f>"2019"</f>
        <v>2019</v>
      </c>
      <c r="AN535" s="5" t="str">
        <f t="shared" ref="AN535:AN566" si="788">"нет"</f>
        <v>нет</v>
      </c>
      <c r="AO535" s="5" t="str">
        <f>""</f>
        <v/>
      </c>
      <c r="AP535" s="5" t="str">
        <f>""</f>
        <v/>
      </c>
      <c r="AQ535" s="5" t="str">
        <f>""</f>
        <v/>
      </c>
      <c r="AR535" s="5" t="str">
        <f t="shared" si="785"/>
        <v>нет</v>
      </c>
      <c r="AS535" s="5" t="str">
        <f>""</f>
        <v/>
      </c>
      <c r="AT535" s="5" t="str">
        <f>""</f>
        <v/>
      </c>
      <c r="AU535" s="5" t="str">
        <f>""</f>
        <v/>
      </c>
      <c r="AV535" s="5" t="str">
        <f>""</f>
        <v/>
      </c>
      <c r="AW535" s="5" t="str">
        <f>"64,00"</f>
        <v>64,00</v>
      </c>
      <c r="AX535" s="5" t="str">
        <f>"2024"</f>
        <v>2024</v>
      </c>
      <c r="AY535" s="5" t="str">
        <f>"нет"</f>
        <v>нет</v>
      </c>
      <c r="AZ535" s="5" t="str">
        <f>""</f>
        <v/>
      </c>
      <c r="BA535" s="5" t="str">
        <f>""</f>
        <v/>
      </c>
      <c r="BB535" s="5" t="str">
        <f>""</f>
        <v/>
      </c>
      <c r="BC535" s="5" t="str">
        <f>"да"</f>
        <v>да</v>
      </c>
      <c r="BD535" s="5" t="str">
        <f>""</f>
        <v/>
      </c>
      <c r="BE535" s="5" t="str">
        <f>"64,00"</f>
        <v>64,00</v>
      </c>
      <c r="BF535" s="5" t="str">
        <f>"2024"</f>
        <v>2024</v>
      </c>
      <c r="BG535" s="5" t="str">
        <f>""</f>
        <v/>
      </c>
      <c r="BH535" s="5" t="str">
        <f>"40,00"</f>
        <v>40,00</v>
      </c>
      <c r="BI535" s="5" t="str">
        <f>"2020"</f>
        <v>2020</v>
      </c>
      <c r="BJ535" s="5" t="str">
        <f t="shared" si="783"/>
        <v>нет</v>
      </c>
      <c r="BK535" s="5" t="str">
        <f>""</f>
        <v/>
      </c>
      <c r="BL535" s="5" t="str">
        <f>""</f>
        <v/>
      </c>
      <c r="BM535" s="5" t="str">
        <f>""</f>
        <v/>
      </c>
      <c r="BN535" s="5" t="str">
        <f t="shared" si="784"/>
        <v>нет</v>
      </c>
      <c r="BO535" s="5" t="str">
        <f>""</f>
        <v/>
      </c>
      <c r="BP535" s="5" t="str">
        <f>""</f>
        <v/>
      </c>
      <c r="BQ535" s="5" t="str">
        <f>""</f>
        <v/>
      </c>
      <c r="BR535" s="5" t="str">
        <f>""</f>
        <v/>
      </c>
      <c r="BS535" s="5" t="str">
        <f>"65,00"</f>
        <v>65,00</v>
      </c>
      <c r="BT535" s="5" t="str">
        <f>"2016"</f>
        <v>2016</v>
      </c>
      <c r="BU535" s="5" t="str">
        <f t="shared" si="752"/>
        <v>нет</v>
      </c>
      <c r="BV535" s="5" t="str">
        <f t="shared" si="774"/>
        <v>x</v>
      </c>
      <c r="BW535" s="5" t="str">
        <f t="shared" si="774"/>
        <v>x</v>
      </c>
      <c r="BX535" s="5" t="str">
        <f t="shared" si="774"/>
        <v>x</v>
      </c>
      <c r="BY535" s="5" t="str">
        <f>"да"</f>
        <v>да</v>
      </c>
      <c r="BZ535" s="5" t="str">
        <f>""</f>
        <v/>
      </c>
      <c r="CA535" s="5" t="str">
        <f>"25,00"</f>
        <v>25,00</v>
      </c>
      <c r="CB535" s="5" t="str">
        <f>"2035"</f>
        <v>2035</v>
      </c>
      <c r="CC535" s="5" t="str">
        <f>""</f>
        <v/>
      </c>
      <c r="CD535" s="5" t="str">
        <f>"25,00"</f>
        <v>25,00</v>
      </c>
      <c r="CE535" s="5" t="str">
        <f>"2035"</f>
        <v>2035</v>
      </c>
      <c r="CF535" s="5" t="str">
        <f>""</f>
        <v/>
      </c>
      <c r="CG535" s="5" t="str">
        <f>"25,00"</f>
        <v>25,00</v>
      </c>
      <c r="CH535" s="5" t="str">
        <f>"2035"</f>
        <v>2035</v>
      </c>
      <c r="CI535" s="5" t="str">
        <f>"34,00"</f>
        <v>34,00</v>
      </c>
      <c r="CJ535" s="5" t="str">
        <f>"2035"</f>
        <v>2035</v>
      </c>
    </row>
    <row r="536" spans="1:88" ht="11.25" customHeight="1">
      <c r="A536" s="3" t="str">
        <f>"1.523"</f>
        <v>1.523</v>
      </c>
      <c r="B536" s="4" t="str">
        <f>"пгт. Вохтога, ул. Линейная, д.20а"</f>
        <v>пгт. Вохтога, ул. Линейная, д.20а</v>
      </c>
      <c r="C536" s="7" t="str">
        <f>"1972"</f>
        <v>1972</v>
      </c>
      <c r="D536" s="5" t="str">
        <f>""</f>
        <v/>
      </c>
      <c r="E536" s="5" t="str">
        <f>"38,00"</f>
        <v>38,00</v>
      </c>
      <c r="F536" s="5" t="str">
        <f>"2020"</f>
        <v>2020</v>
      </c>
      <c r="G536" s="5" t="str">
        <f t="shared" si="782"/>
        <v>да</v>
      </c>
      <c r="H536" s="5" t="str">
        <f>""</f>
        <v/>
      </c>
      <c r="I536" s="5" t="str">
        <f>"15,00"</f>
        <v>15,00</v>
      </c>
      <c r="J536" s="5" t="str">
        <f>"2020"</f>
        <v>2020</v>
      </c>
      <c r="K536" s="5" t="str">
        <f>"нет"</f>
        <v>нет</v>
      </c>
      <c r="L536" s="5" t="str">
        <f>""</f>
        <v/>
      </c>
      <c r="M536" s="5" t="str">
        <f>""</f>
        <v/>
      </c>
      <c r="N536" s="5" t="str">
        <f>""</f>
        <v/>
      </c>
      <c r="O536" s="8" t="str">
        <f>""</f>
        <v/>
      </c>
      <c r="P536" s="5" t="str">
        <f>"20,00"</f>
        <v>20,00</v>
      </c>
      <c r="Q536" s="5" t="str">
        <f>"2025"</f>
        <v>2025</v>
      </c>
      <c r="R536" s="5" t="str">
        <f t="shared" si="786"/>
        <v>нет</v>
      </c>
      <c r="S536" s="5" t="str">
        <f>""</f>
        <v/>
      </c>
      <c r="T536" s="5" t="str">
        <f>""</f>
        <v/>
      </c>
      <c r="U536" s="5" t="str">
        <f>""</f>
        <v/>
      </c>
      <c r="V536" s="5" t="str">
        <f t="shared" si="787"/>
        <v>нет</v>
      </c>
      <c r="W536" s="5" t="str">
        <f>""</f>
        <v/>
      </c>
      <c r="X536" s="5" t="str">
        <f>""</f>
        <v/>
      </c>
      <c r="Y536" s="9" t="str">
        <f>""</f>
        <v/>
      </c>
      <c r="Z536" s="5" t="str">
        <f>""</f>
        <v/>
      </c>
      <c r="AA536" s="5" t="str">
        <f>"5,00"</f>
        <v>5,00</v>
      </c>
      <c r="AB536" s="5" t="str">
        <f>"2040"</f>
        <v>2040</v>
      </c>
      <c r="AC536" s="5" t="str">
        <f>"нет"</f>
        <v>нет</v>
      </c>
      <c r="AD536" s="5" t="str">
        <f>""</f>
        <v/>
      </c>
      <c r="AE536" s="5" t="str">
        <f>""</f>
        <v/>
      </c>
      <c r="AF536" s="5" t="str">
        <f>""</f>
        <v/>
      </c>
      <c r="AG536" s="5" t="str">
        <f>"нет"</f>
        <v>нет</v>
      </c>
      <c r="AH536" s="5" t="str">
        <f>""</f>
        <v/>
      </c>
      <c r="AI536" s="5" t="str">
        <f>""</f>
        <v/>
      </c>
      <c r="AJ536" s="5" t="str">
        <f>""</f>
        <v/>
      </c>
      <c r="AK536" s="8" t="str">
        <f>""</f>
        <v/>
      </c>
      <c r="AL536" s="5" t="str">
        <f>"15,00"</f>
        <v>15,00</v>
      </c>
      <c r="AM536" s="5" t="str">
        <f>"2019"</f>
        <v>2019</v>
      </c>
      <c r="AN536" s="5" t="str">
        <f t="shared" si="788"/>
        <v>нет</v>
      </c>
      <c r="AO536" s="5" t="str">
        <f>""</f>
        <v/>
      </c>
      <c r="AP536" s="5" t="str">
        <f>""</f>
        <v/>
      </c>
      <c r="AQ536" s="5" t="str">
        <f>""</f>
        <v/>
      </c>
      <c r="AR536" s="5" t="str">
        <f t="shared" si="785"/>
        <v>нет</v>
      </c>
      <c r="AS536" s="5" t="str">
        <f>""</f>
        <v/>
      </c>
      <c r="AT536" s="5" t="str">
        <f>""</f>
        <v/>
      </c>
      <c r="AU536" s="5" t="str">
        <f>""</f>
        <v/>
      </c>
      <c r="AV536" s="5" t="str">
        <f>""</f>
        <v/>
      </c>
      <c r="AW536" s="5" t="str">
        <f>"55,00"</f>
        <v>55,00</v>
      </c>
      <c r="AX536" s="5" t="str">
        <f>"2024"</f>
        <v>2024</v>
      </c>
      <c r="AY536" s="5" t="str">
        <f>"нет"</f>
        <v>нет</v>
      </c>
      <c r="AZ536" s="5" t="str">
        <f>""</f>
        <v/>
      </c>
      <c r="BA536" s="5" t="str">
        <f>""</f>
        <v/>
      </c>
      <c r="BB536" s="5" t="str">
        <f>""</f>
        <v/>
      </c>
      <c r="BC536" s="5" t="str">
        <f>"да"</f>
        <v>да</v>
      </c>
      <c r="BD536" s="5" t="str">
        <f>""</f>
        <v/>
      </c>
      <c r="BE536" s="5" t="str">
        <f>"55,00"</f>
        <v>55,00</v>
      </c>
      <c r="BF536" s="5" t="str">
        <f>"2024"</f>
        <v>2024</v>
      </c>
      <c r="BG536" s="5" t="str">
        <f>""</f>
        <v/>
      </c>
      <c r="BH536" s="5" t="str">
        <f>"25,00"</f>
        <v>25,00</v>
      </c>
      <c r="BI536" s="5" t="str">
        <f>"2035"</f>
        <v>2035</v>
      </c>
      <c r="BJ536" s="5" t="str">
        <f t="shared" si="783"/>
        <v>нет</v>
      </c>
      <c r="BK536" s="5" t="str">
        <f>""</f>
        <v/>
      </c>
      <c r="BL536" s="5" t="str">
        <f>""</f>
        <v/>
      </c>
      <c r="BM536" s="5" t="str">
        <f>""</f>
        <v/>
      </c>
      <c r="BN536" s="5" t="str">
        <f t="shared" si="784"/>
        <v>нет</v>
      </c>
      <c r="BO536" s="5" t="str">
        <f>""</f>
        <v/>
      </c>
      <c r="BP536" s="5" t="str">
        <f>""</f>
        <v/>
      </c>
      <c r="BQ536" s="5" t="str">
        <f>""</f>
        <v/>
      </c>
      <c r="BR536" s="5" t="str">
        <f>""</f>
        <v/>
      </c>
      <c r="BS536" s="5" t="str">
        <f>"68,00"</f>
        <v>68,00</v>
      </c>
      <c r="BT536" s="5" t="str">
        <f>"2015"</f>
        <v>2015</v>
      </c>
      <c r="BU536" s="5" t="str">
        <f t="shared" si="752"/>
        <v>нет</v>
      </c>
      <c r="BV536" s="5" t="str">
        <f t="shared" si="774"/>
        <v>x</v>
      </c>
      <c r="BW536" s="5" t="str">
        <f t="shared" si="774"/>
        <v>x</v>
      </c>
      <c r="BX536" s="5" t="str">
        <f t="shared" si="774"/>
        <v>x</v>
      </c>
      <c r="BY536" s="5" t="str">
        <f>"нет"</f>
        <v>нет</v>
      </c>
      <c r="BZ536" s="5" t="str">
        <f>"x"</f>
        <v>x</v>
      </c>
      <c r="CA536" s="5" t="str">
        <f>"x"</f>
        <v>x</v>
      </c>
      <c r="CB536" s="5" t="str">
        <f>"x"</f>
        <v>x</v>
      </c>
      <c r="CC536" s="5" t="str">
        <f>""</f>
        <v/>
      </c>
      <c r="CD536" s="5" t="str">
        <f>"65,00"</f>
        <v>65,00</v>
      </c>
      <c r="CE536" s="5" t="str">
        <f>"2020"</f>
        <v>2020</v>
      </c>
      <c r="CF536" s="5" t="str">
        <f>""</f>
        <v/>
      </c>
      <c r="CG536" s="5" t="str">
        <f>"35,00"</f>
        <v>35,00</v>
      </c>
      <c r="CH536" s="5" t="str">
        <f>"2020"</f>
        <v>2020</v>
      </c>
      <c r="CI536" s="5" t="str">
        <f>"20,00"</f>
        <v>20,00</v>
      </c>
      <c r="CJ536" s="5" t="str">
        <f>"2018"</f>
        <v>2018</v>
      </c>
    </row>
    <row r="537" spans="1:88" ht="11.25" customHeight="1">
      <c r="A537" s="3" t="str">
        <f>"1.524"</f>
        <v>1.524</v>
      </c>
      <c r="B537" s="4" t="str">
        <f>"пгт. Вохтога, ул. Линейная, д.6А"</f>
        <v>пгт. Вохтога, ул. Линейная, д.6А</v>
      </c>
      <c r="C537" s="7" t="str">
        <f>"1989"</f>
        <v>1989</v>
      </c>
      <c r="D537" s="5" t="str">
        <f>""</f>
        <v/>
      </c>
      <c r="E537" s="5" t="str">
        <f>"38,00"</f>
        <v>38,00</v>
      </c>
      <c r="F537" s="5" t="str">
        <f>"2020"</f>
        <v>2020</v>
      </c>
      <c r="G537" s="5" t="str">
        <f t="shared" si="782"/>
        <v>да</v>
      </c>
      <c r="H537" s="5" t="str">
        <f>"2010"</f>
        <v>2010</v>
      </c>
      <c r="I537" s="5" t="str">
        <f>"15,00"</f>
        <v>15,00</v>
      </c>
      <c r="J537" s="5" t="str">
        <f>"2020"</f>
        <v>2020</v>
      </c>
      <c r="K537" s="5" t="str">
        <f>"да"</f>
        <v>да</v>
      </c>
      <c r="L537" s="5" t="str">
        <f>""</f>
        <v/>
      </c>
      <c r="M537" s="5" t="str">
        <f>"35,00"</f>
        <v>35,00</v>
      </c>
      <c r="N537" s="5" t="str">
        <f>"2020"</f>
        <v>2020</v>
      </c>
      <c r="O537" s="8" t="str">
        <f>""</f>
        <v/>
      </c>
      <c r="P537" s="5" t="str">
        <f>"52,00"</f>
        <v>52,00</v>
      </c>
      <c r="Q537" s="5" t="str">
        <f>"2019"</f>
        <v>2019</v>
      </c>
      <c r="R537" s="5" t="str">
        <f t="shared" si="786"/>
        <v>нет</v>
      </c>
      <c r="S537" s="5" t="str">
        <f>""</f>
        <v/>
      </c>
      <c r="T537" s="5" t="str">
        <f>""</f>
        <v/>
      </c>
      <c r="U537" s="5" t="str">
        <f>""</f>
        <v/>
      </c>
      <c r="V537" s="5" t="str">
        <f t="shared" si="787"/>
        <v>нет</v>
      </c>
      <c r="W537" s="5" t="str">
        <f>""</f>
        <v/>
      </c>
      <c r="X537" s="5" t="str">
        <f>""</f>
        <v/>
      </c>
      <c r="Y537" s="9" t="str">
        <f>""</f>
        <v/>
      </c>
      <c r="Z537" s="5" t="str">
        <f>""</f>
        <v/>
      </c>
      <c r="AA537" s="5" t="str">
        <f>"10,00"</f>
        <v>10,00</v>
      </c>
      <c r="AB537" s="5" t="str">
        <f>"2030"</f>
        <v>2030</v>
      </c>
      <c r="AC537" s="5" t="str">
        <f>"нет"</f>
        <v>нет</v>
      </c>
      <c r="AD537" s="5" t="str">
        <f>""</f>
        <v/>
      </c>
      <c r="AE537" s="5" t="str">
        <f>""</f>
        <v/>
      </c>
      <c r="AF537" s="5" t="str">
        <f>""</f>
        <v/>
      </c>
      <c r="AG537" s="5" t="str">
        <f>"нет"</f>
        <v>нет</v>
      </c>
      <c r="AH537" s="5" t="str">
        <f>""</f>
        <v/>
      </c>
      <c r="AI537" s="5" t="str">
        <f>""</f>
        <v/>
      </c>
      <c r="AJ537" s="5" t="str">
        <f>""</f>
        <v/>
      </c>
      <c r="AK537" s="8" t="str">
        <f>""</f>
        <v/>
      </c>
      <c r="AL537" s="5" t="str">
        <f>"49,00"</f>
        <v>49,00</v>
      </c>
      <c r="AM537" s="5" t="str">
        <f>"2019"</f>
        <v>2019</v>
      </c>
      <c r="AN537" s="5" t="str">
        <f t="shared" si="788"/>
        <v>нет</v>
      </c>
      <c r="AO537" s="5" t="str">
        <f>""</f>
        <v/>
      </c>
      <c r="AP537" s="5" t="str">
        <f>""</f>
        <v/>
      </c>
      <c r="AQ537" s="5" t="str">
        <f>""</f>
        <v/>
      </c>
      <c r="AR537" s="5" t="str">
        <f t="shared" si="785"/>
        <v>нет</v>
      </c>
      <c r="AS537" s="5" t="str">
        <f>""</f>
        <v/>
      </c>
      <c r="AT537" s="5" t="str">
        <f>""</f>
        <v/>
      </c>
      <c r="AU537" s="5" t="str">
        <f>""</f>
        <v/>
      </c>
      <c r="AV537" s="5" t="str">
        <f>""</f>
        <v/>
      </c>
      <c r="AW537" s="5" t="str">
        <f>"52,00"</f>
        <v>52,00</v>
      </c>
      <c r="AX537" s="5" t="str">
        <f>"2019"</f>
        <v>2019</v>
      </c>
      <c r="AY537" s="5" t="str">
        <f>"нет"</f>
        <v>нет</v>
      </c>
      <c r="AZ537" s="5" t="str">
        <f>""</f>
        <v/>
      </c>
      <c r="BA537" s="5" t="str">
        <f>""</f>
        <v/>
      </c>
      <c r="BB537" s="5" t="str">
        <f>""</f>
        <v/>
      </c>
      <c r="BC537" s="5" t="str">
        <f>"да"</f>
        <v>да</v>
      </c>
      <c r="BD537" s="5" t="str">
        <f>""</f>
        <v/>
      </c>
      <c r="BE537" s="5" t="str">
        <f>"52,00"</f>
        <v>52,00</v>
      </c>
      <c r="BF537" s="5" t="str">
        <f>"2019"</f>
        <v>2019</v>
      </c>
      <c r="BG537" s="5" t="str">
        <f>""</f>
        <v/>
      </c>
      <c r="BH537" s="5" t="str">
        <f>"54,00"</f>
        <v>54,00</v>
      </c>
      <c r="BI537" s="5" t="str">
        <f>"2019"</f>
        <v>2019</v>
      </c>
      <c r="BJ537" s="5" t="str">
        <f t="shared" si="783"/>
        <v>нет</v>
      </c>
      <c r="BK537" s="5" t="str">
        <f>""</f>
        <v/>
      </c>
      <c r="BL537" s="5" t="str">
        <f>""</f>
        <v/>
      </c>
      <c r="BM537" s="5" t="str">
        <f>""</f>
        <v/>
      </c>
      <c r="BN537" s="5" t="str">
        <f t="shared" si="784"/>
        <v>нет</v>
      </c>
      <c r="BO537" s="5" t="str">
        <f>""</f>
        <v/>
      </c>
      <c r="BP537" s="5" t="str">
        <f>""</f>
        <v/>
      </c>
      <c r="BQ537" s="5" t="str">
        <f>""</f>
        <v/>
      </c>
      <c r="BR537" s="5" t="str">
        <f>""</f>
        <v/>
      </c>
      <c r="BS537" s="5" t="str">
        <f>"59,00"</f>
        <v>59,00</v>
      </c>
      <c r="BT537" s="5" t="str">
        <f>"2019"</f>
        <v>2019</v>
      </c>
      <c r="BU537" s="5" t="str">
        <f t="shared" si="752"/>
        <v>нет</v>
      </c>
      <c r="BV537" s="5" t="str">
        <f t="shared" si="774"/>
        <v>x</v>
      </c>
      <c r="BW537" s="5" t="str">
        <f t="shared" si="774"/>
        <v>x</v>
      </c>
      <c r="BX537" s="5" t="str">
        <f t="shared" si="774"/>
        <v>x</v>
      </c>
      <c r="BY537" s="5" t="str">
        <f>"да"</f>
        <v>да</v>
      </c>
      <c r="BZ537" s="5" t="str">
        <f>""</f>
        <v/>
      </c>
      <c r="CA537" s="5" t="str">
        <f>"10,00"</f>
        <v>10,00</v>
      </c>
      <c r="CB537" s="5" t="str">
        <f>"2030"</f>
        <v>2030</v>
      </c>
      <c r="CC537" s="5" t="str">
        <f>""</f>
        <v/>
      </c>
      <c r="CD537" s="5" t="str">
        <f>"5,00"</f>
        <v>5,00</v>
      </c>
      <c r="CE537" s="5" t="str">
        <f>"2030"</f>
        <v>2030</v>
      </c>
      <c r="CF537" s="5" t="str">
        <f>""</f>
        <v/>
      </c>
      <c r="CG537" s="5" t="str">
        <f>"5,00"</f>
        <v>5,00</v>
      </c>
      <c r="CH537" s="5" t="str">
        <f>"2030"</f>
        <v>2030</v>
      </c>
      <c r="CI537" s="5" t="str">
        <f>"32,00"</f>
        <v>32,00</v>
      </c>
      <c r="CJ537" s="5" t="str">
        <f>"2019"</f>
        <v>2019</v>
      </c>
    </row>
    <row r="538" spans="1:88" ht="11.25" customHeight="1">
      <c r="A538" s="3" t="str">
        <f>"1.525"</f>
        <v>1.525</v>
      </c>
      <c r="B538" s="4" t="str">
        <f>"пгт. Вохтога, ул. Молодежная, д.10"</f>
        <v>пгт. Вохтога, ул. Молодежная, д.10</v>
      </c>
      <c r="C538" s="7" t="str">
        <f>"1971"</f>
        <v>1971</v>
      </c>
      <c r="D538" s="5" t="str">
        <f>""</f>
        <v/>
      </c>
      <c r="E538" s="5" t="str">
        <f>"25,00"</f>
        <v>25,00</v>
      </c>
      <c r="F538" s="5" t="str">
        <f>"2030"</f>
        <v>2030</v>
      </c>
      <c r="G538" s="5" t="str">
        <f t="shared" ref="G538:G563" si="789">"нет"</f>
        <v>нет</v>
      </c>
      <c r="H538" s="5" t="str">
        <f>""</f>
        <v/>
      </c>
      <c r="I538" s="5" t="str">
        <f>""</f>
        <v/>
      </c>
      <c r="J538" s="5" t="str">
        <f>""</f>
        <v/>
      </c>
      <c r="K538" s="5" t="str">
        <f t="shared" ref="K538:K576" si="790">"нет"</f>
        <v>нет</v>
      </c>
      <c r="L538" s="5" t="str">
        <f>""</f>
        <v/>
      </c>
      <c r="M538" s="5" t="str">
        <f>""</f>
        <v/>
      </c>
      <c r="N538" s="5" t="str">
        <f>""</f>
        <v/>
      </c>
      <c r="O538" s="8" t="str">
        <f>""</f>
        <v/>
      </c>
      <c r="P538" s="5" t="str">
        <f>"54,00"</f>
        <v>54,00</v>
      </c>
      <c r="Q538" s="5" t="str">
        <f>"2019"</f>
        <v>2019</v>
      </c>
      <c r="R538" s="5" t="str">
        <f t="shared" si="786"/>
        <v>нет</v>
      </c>
      <c r="S538" s="5" t="str">
        <f>""</f>
        <v/>
      </c>
      <c r="T538" s="5" t="str">
        <f>""</f>
        <v/>
      </c>
      <c r="U538" s="5" t="str">
        <f>""</f>
        <v/>
      </c>
      <c r="V538" s="5" t="str">
        <f t="shared" si="787"/>
        <v>нет</v>
      </c>
      <c r="W538" s="5" t="str">
        <f>""</f>
        <v/>
      </c>
      <c r="X538" s="5" t="str">
        <f>""</f>
        <v/>
      </c>
      <c r="Y538" s="9" t="str">
        <f>""</f>
        <v/>
      </c>
      <c r="Z538" s="5" t="str">
        <f>""</f>
        <v/>
      </c>
      <c r="AA538" s="5" t="str">
        <f>""</f>
        <v/>
      </c>
      <c r="AB538" s="5" t="str">
        <f>""</f>
        <v/>
      </c>
      <c r="AC538" s="5" t="str">
        <f>""</f>
        <v/>
      </c>
      <c r="AD538" s="5" t="str">
        <f>""</f>
        <v/>
      </c>
      <c r="AE538" s="5" t="str">
        <f>""</f>
        <v/>
      </c>
      <c r="AF538" s="5" t="str">
        <f>""</f>
        <v/>
      </c>
      <c r="AG538" s="5" t="str">
        <f>""</f>
        <v/>
      </c>
      <c r="AH538" s="5" t="str">
        <f>""</f>
        <v/>
      </c>
      <c r="AI538" s="5" t="str">
        <f>""</f>
        <v/>
      </c>
      <c r="AJ538" s="5" t="str">
        <f>""</f>
        <v/>
      </c>
      <c r="AK538" s="8" t="str">
        <f>""</f>
        <v/>
      </c>
      <c r="AL538" s="5" t="str">
        <f>"35,00"</f>
        <v>35,00</v>
      </c>
      <c r="AM538" s="5" t="str">
        <f>"2030"</f>
        <v>2030</v>
      </c>
      <c r="AN538" s="5" t="str">
        <f t="shared" si="788"/>
        <v>нет</v>
      </c>
      <c r="AO538" s="5" t="str">
        <f>""</f>
        <v/>
      </c>
      <c r="AP538" s="5" t="str">
        <f>""</f>
        <v/>
      </c>
      <c r="AQ538" s="5" t="str">
        <f>""</f>
        <v/>
      </c>
      <c r="AR538" s="5" t="str">
        <f t="shared" si="785"/>
        <v>нет</v>
      </c>
      <c r="AS538" s="5" t="str">
        <f>""</f>
        <v/>
      </c>
      <c r="AT538" s="5" t="str">
        <f>""</f>
        <v/>
      </c>
      <c r="AU538" s="5" t="str">
        <f>""</f>
        <v/>
      </c>
      <c r="AV538" s="5" t="str">
        <f t="shared" ref="AV538:BF547" si="791">"х"</f>
        <v>х</v>
      </c>
      <c r="AW538" s="5" t="str">
        <f t="shared" si="791"/>
        <v>х</v>
      </c>
      <c r="AX538" s="5" t="str">
        <f t="shared" si="791"/>
        <v>х</v>
      </c>
      <c r="AY538" s="5" t="str">
        <f t="shared" si="791"/>
        <v>х</v>
      </c>
      <c r="AZ538" s="5" t="str">
        <f t="shared" si="791"/>
        <v>х</v>
      </c>
      <c r="BA538" s="5" t="str">
        <f t="shared" si="791"/>
        <v>х</v>
      </c>
      <c r="BB538" s="5" t="str">
        <f t="shared" si="791"/>
        <v>х</v>
      </c>
      <c r="BC538" s="5" t="str">
        <f t="shared" si="791"/>
        <v>х</v>
      </c>
      <c r="BD538" s="5" t="str">
        <f t="shared" si="791"/>
        <v>х</v>
      </c>
      <c r="BE538" s="5" t="str">
        <f t="shared" si="791"/>
        <v>х</v>
      </c>
      <c r="BF538" s="5" t="str">
        <f t="shared" si="791"/>
        <v>х</v>
      </c>
      <c r="BG538" s="5" t="str">
        <f>""</f>
        <v/>
      </c>
      <c r="BH538" s="5" t="str">
        <f>"15,00"</f>
        <v>15,00</v>
      </c>
      <c r="BI538" s="5" t="str">
        <f>"2030"</f>
        <v>2030</v>
      </c>
      <c r="BJ538" s="5" t="str">
        <f t="shared" si="783"/>
        <v>нет</v>
      </c>
      <c r="BK538" s="5" t="str">
        <f>""</f>
        <v/>
      </c>
      <c r="BL538" s="5" t="str">
        <f>""</f>
        <v/>
      </c>
      <c r="BM538" s="5" t="str">
        <f>""</f>
        <v/>
      </c>
      <c r="BN538" s="5" t="str">
        <f t="shared" si="784"/>
        <v>нет</v>
      </c>
      <c r="BO538" s="5" t="str">
        <f>""</f>
        <v/>
      </c>
      <c r="BP538" s="5" t="str">
        <f>""</f>
        <v/>
      </c>
      <c r="BQ538" s="5" t="str">
        <f>""</f>
        <v/>
      </c>
      <c r="BR538" s="5" t="str">
        <f>""</f>
        <v/>
      </c>
      <c r="BS538" s="5" t="str">
        <f>"64,00"</f>
        <v>64,00</v>
      </c>
      <c r="BT538" s="5" t="str">
        <f>"2019"</f>
        <v>2019</v>
      </c>
      <c r="BU538" s="5" t="str">
        <f t="shared" si="752"/>
        <v>нет</v>
      </c>
      <c r="BV538" s="5" t="str">
        <f t="shared" si="774"/>
        <v>x</v>
      </c>
      <c r="BW538" s="5" t="str">
        <f t="shared" si="774"/>
        <v>x</v>
      </c>
      <c r="BX538" s="5" t="str">
        <f t="shared" si="774"/>
        <v>x</v>
      </c>
      <c r="BY538" s="5" t="str">
        <f t="shared" ref="BY538:BY569" si="792">"нет"</f>
        <v>нет</v>
      </c>
      <c r="BZ538" s="5" t="str">
        <f t="shared" ref="BZ538:CB557" si="793">"x"</f>
        <v>x</v>
      </c>
      <c r="CA538" s="5" t="str">
        <f t="shared" si="793"/>
        <v>x</v>
      </c>
      <c r="CB538" s="5" t="str">
        <f t="shared" si="793"/>
        <v>x</v>
      </c>
      <c r="CC538" s="5" t="str">
        <f>""</f>
        <v/>
      </c>
      <c r="CD538" s="5" t="str">
        <f>"66,00"</f>
        <v>66,00</v>
      </c>
      <c r="CE538" s="5" t="str">
        <f>"2019"</f>
        <v>2019</v>
      </c>
      <c r="CF538" s="5" t="str">
        <f>""</f>
        <v/>
      </c>
      <c r="CG538" s="5" t="str">
        <f>"56,00"</f>
        <v>56,00</v>
      </c>
      <c r="CH538" s="5" t="str">
        <f>"2019"</f>
        <v>2019</v>
      </c>
      <c r="CI538" s="5" t="str">
        <f>"59,00"</f>
        <v>59,00</v>
      </c>
      <c r="CJ538" s="5" t="str">
        <f>"2019"</f>
        <v>2019</v>
      </c>
    </row>
    <row r="539" spans="1:88" ht="11.25" customHeight="1">
      <c r="A539" s="3" t="str">
        <f>"1.526"</f>
        <v>1.526</v>
      </c>
      <c r="B539" s="4" t="str">
        <f>"пгт. Вохтога, ул. Молодежная, д.11"</f>
        <v>пгт. Вохтога, ул. Молодежная, д.11</v>
      </c>
      <c r="C539" s="7" t="str">
        <f>"1971"</f>
        <v>1971</v>
      </c>
      <c r="D539" s="5" t="str">
        <f>""</f>
        <v/>
      </c>
      <c r="E539" s="5" t="str">
        <f>"25,00"</f>
        <v>25,00</v>
      </c>
      <c r="F539" s="5" t="str">
        <f>"2030"</f>
        <v>2030</v>
      </c>
      <c r="G539" s="5" t="str">
        <f t="shared" si="789"/>
        <v>нет</v>
      </c>
      <c r="H539" s="5" t="str">
        <f>""</f>
        <v/>
      </c>
      <c r="I539" s="5" t="str">
        <f>""</f>
        <v/>
      </c>
      <c r="J539" s="5" t="str">
        <f>""</f>
        <v/>
      </c>
      <c r="K539" s="5" t="str">
        <f t="shared" si="790"/>
        <v>нет</v>
      </c>
      <c r="L539" s="5" t="str">
        <f>""</f>
        <v/>
      </c>
      <c r="M539" s="5" t="str">
        <f>""</f>
        <v/>
      </c>
      <c r="N539" s="5" t="str">
        <f>""</f>
        <v/>
      </c>
      <c r="O539" s="8" t="str">
        <f>""</f>
        <v/>
      </c>
      <c r="P539" s="5" t="str">
        <f>"56,00"</f>
        <v>56,00</v>
      </c>
      <c r="Q539" s="5" t="str">
        <f>"2022"</f>
        <v>2022</v>
      </c>
      <c r="R539" s="5" t="str">
        <f t="shared" si="786"/>
        <v>нет</v>
      </c>
      <c r="S539" s="5" t="str">
        <f>""</f>
        <v/>
      </c>
      <c r="T539" s="5" t="str">
        <f>""</f>
        <v/>
      </c>
      <c r="U539" s="5" t="str">
        <f>""</f>
        <v/>
      </c>
      <c r="V539" s="5" t="str">
        <f t="shared" si="787"/>
        <v>нет</v>
      </c>
      <c r="W539" s="5" t="str">
        <f>""</f>
        <v/>
      </c>
      <c r="X539" s="5" t="str">
        <f>""</f>
        <v/>
      </c>
      <c r="Y539" s="9" t="str">
        <f>""</f>
        <v/>
      </c>
      <c r="Z539" s="5" t="str">
        <f>""</f>
        <v/>
      </c>
      <c r="AA539" s="5" t="str">
        <f>""</f>
        <v/>
      </c>
      <c r="AB539" s="5" t="str">
        <f>""</f>
        <v/>
      </c>
      <c r="AC539" s="5" t="str">
        <f>""</f>
        <v/>
      </c>
      <c r="AD539" s="5" t="str">
        <f>""</f>
        <v/>
      </c>
      <c r="AE539" s="5" t="str">
        <f>""</f>
        <v/>
      </c>
      <c r="AF539" s="5" t="str">
        <f>""</f>
        <v/>
      </c>
      <c r="AG539" s="5" t="str">
        <f>""</f>
        <v/>
      </c>
      <c r="AH539" s="5" t="str">
        <f>""</f>
        <v/>
      </c>
      <c r="AI539" s="5" t="str">
        <f>""</f>
        <v/>
      </c>
      <c r="AJ539" s="5" t="str">
        <f>""</f>
        <v/>
      </c>
      <c r="AK539" s="8" t="str">
        <f>""</f>
        <v/>
      </c>
      <c r="AL539" s="5" t="str">
        <f>"35,00"</f>
        <v>35,00</v>
      </c>
      <c r="AM539" s="5" t="str">
        <f>"2030"</f>
        <v>2030</v>
      </c>
      <c r="AN539" s="5" t="str">
        <f t="shared" si="788"/>
        <v>нет</v>
      </c>
      <c r="AO539" s="5" t="str">
        <f>""</f>
        <v/>
      </c>
      <c r="AP539" s="5" t="str">
        <f>""</f>
        <v/>
      </c>
      <c r="AQ539" s="5" t="str">
        <f>""</f>
        <v/>
      </c>
      <c r="AR539" s="5" t="str">
        <f t="shared" si="785"/>
        <v>нет</v>
      </c>
      <c r="AS539" s="5" t="str">
        <f>""</f>
        <v/>
      </c>
      <c r="AT539" s="5" t="str">
        <f>""</f>
        <v/>
      </c>
      <c r="AU539" s="5" t="str">
        <f>""</f>
        <v/>
      </c>
      <c r="AV539" s="5" t="str">
        <f t="shared" si="791"/>
        <v>х</v>
      </c>
      <c r="AW539" s="5" t="str">
        <f t="shared" si="791"/>
        <v>х</v>
      </c>
      <c r="AX539" s="5" t="str">
        <f t="shared" si="791"/>
        <v>х</v>
      </c>
      <c r="AY539" s="5" t="str">
        <f t="shared" si="791"/>
        <v>х</v>
      </c>
      <c r="AZ539" s="5" t="str">
        <f t="shared" si="791"/>
        <v>х</v>
      </c>
      <c r="BA539" s="5" t="str">
        <f t="shared" si="791"/>
        <v>х</v>
      </c>
      <c r="BB539" s="5" t="str">
        <f t="shared" si="791"/>
        <v>х</v>
      </c>
      <c r="BC539" s="5" t="str">
        <f t="shared" si="791"/>
        <v>х</v>
      </c>
      <c r="BD539" s="5" t="str">
        <f t="shared" si="791"/>
        <v>х</v>
      </c>
      <c r="BE539" s="5" t="str">
        <f t="shared" si="791"/>
        <v>х</v>
      </c>
      <c r="BF539" s="5" t="str">
        <f t="shared" si="791"/>
        <v>х</v>
      </c>
      <c r="BG539" s="5" t="str">
        <f>""</f>
        <v/>
      </c>
      <c r="BH539" s="5" t="str">
        <f>"20,00"</f>
        <v>20,00</v>
      </c>
      <c r="BI539" s="5" t="str">
        <f>"2035"</f>
        <v>2035</v>
      </c>
      <c r="BJ539" s="5" t="str">
        <f t="shared" si="783"/>
        <v>нет</v>
      </c>
      <c r="BK539" s="5" t="str">
        <f>""</f>
        <v/>
      </c>
      <c r="BL539" s="5" t="str">
        <f>""</f>
        <v/>
      </c>
      <c r="BM539" s="5" t="str">
        <f>""</f>
        <v/>
      </c>
      <c r="BN539" s="5" t="str">
        <f t="shared" si="784"/>
        <v>нет</v>
      </c>
      <c r="BO539" s="5" t="str">
        <f>""</f>
        <v/>
      </c>
      <c r="BP539" s="5" t="str">
        <f>""</f>
        <v/>
      </c>
      <c r="BQ539" s="5" t="str">
        <f>""</f>
        <v/>
      </c>
      <c r="BR539" s="5" t="str">
        <f>""</f>
        <v/>
      </c>
      <c r="BS539" s="5" t="str">
        <f>"64,00"</f>
        <v>64,00</v>
      </c>
      <c r="BT539" s="5" t="str">
        <f>"2020"</f>
        <v>2020</v>
      </c>
      <c r="BU539" s="5" t="str">
        <f t="shared" si="752"/>
        <v>нет</v>
      </c>
      <c r="BV539" s="5" t="str">
        <f t="shared" si="774"/>
        <v>x</v>
      </c>
      <c r="BW539" s="5" t="str">
        <f t="shared" si="774"/>
        <v>x</v>
      </c>
      <c r="BX539" s="5" t="str">
        <f t="shared" si="774"/>
        <v>x</v>
      </c>
      <c r="BY539" s="5" t="str">
        <f t="shared" si="792"/>
        <v>нет</v>
      </c>
      <c r="BZ539" s="5" t="str">
        <f t="shared" si="793"/>
        <v>x</v>
      </c>
      <c r="CA539" s="5" t="str">
        <f t="shared" si="793"/>
        <v>x</v>
      </c>
      <c r="CB539" s="5" t="str">
        <f t="shared" si="793"/>
        <v>x</v>
      </c>
      <c r="CC539" s="5" t="str">
        <f>""</f>
        <v/>
      </c>
      <c r="CD539" s="5" t="str">
        <f>"59,00"</f>
        <v>59,00</v>
      </c>
      <c r="CE539" s="5" t="str">
        <f>"2022"</f>
        <v>2022</v>
      </c>
      <c r="CF539" s="5" t="str">
        <f>""</f>
        <v/>
      </c>
      <c r="CG539" s="5" t="str">
        <f>"61,00"</f>
        <v>61,00</v>
      </c>
      <c r="CH539" s="5" t="str">
        <f>"2022"</f>
        <v>2022</v>
      </c>
      <c r="CI539" s="5" t="str">
        <f>"61,00"</f>
        <v>61,00</v>
      </c>
      <c r="CJ539" s="5" t="str">
        <f>"2022"</f>
        <v>2022</v>
      </c>
    </row>
    <row r="540" spans="1:88" ht="11.25" customHeight="1">
      <c r="A540" s="3" t="str">
        <f>"1.527"</f>
        <v>1.527</v>
      </c>
      <c r="B540" s="4" t="str">
        <f>"пгт. Вохтога, ул. Молодежная, д.12"</f>
        <v>пгт. Вохтога, ул. Молодежная, д.12</v>
      </c>
      <c r="C540" s="7" t="str">
        <f>"1971"</f>
        <v>1971</v>
      </c>
      <c r="D540" s="5" t="str">
        <f>""</f>
        <v/>
      </c>
      <c r="E540" s="5" t="str">
        <f>"20,00"</f>
        <v>20,00</v>
      </c>
      <c r="F540" s="5" t="str">
        <f>"2035"</f>
        <v>2035</v>
      </c>
      <c r="G540" s="5" t="str">
        <f t="shared" si="789"/>
        <v>нет</v>
      </c>
      <c r="H540" s="5" t="str">
        <f>""</f>
        <v/>
      </c>
      <c r="I540" s="5" t="str">
        <f>""</f>
        <v/>
      </c>
      <c r="J540" s="5" t="str">
        <f>""</f>
        <v/>
      </c>
      <c r="K540" s="5" t="str">
        <f t="shared" si="790"/>
        <v>нет</v>
      </c>
      <c r="L540" s="5" t="str">
        <f>""</f>
        <v/>
      </c>
      <c r="M540" s="5" t="str">
        <f>""</f>
        <v/>
      </c>
      <c r="N540" s="5" t="str">
        <f>""</f>
        <v/>
      </c>
      <c r="O540" s="8" t="str">
        <f>""</f>
        <v/>
      </c>
      <c r="P540" s="5" t="str">
        <f>"45,00"</f>
        <v>45,00</v>
      </c>
      <c r="Q540" s="5" t="str">
        <f>"2025"</f>
        <v>2025</v>
      </c>
      <c r="R540" s="5" t="str">
        <f t="shared" si="786"/>
        <v>нет</v>
      </c>
      <c r="S540" s="5" t="str">
        <f>""</f>
        <v/>
      </c>
      <c r="T540" s="5" t="str">
        <f>""</f>
        <v/>
      </c>
      <c r="U540" s="5" t="str">
        <f>""</f>
        <v/>
      </c>
      <c r="V540" s="5" t="str">
        <f t="shared" si="787"/>
        <v>нет</v>
      </c>
      <c r="W540" s="5" t="str">
        <f>""</f>
        <v/>
      </c>
      <c r="X540" s="5" t="str">
        <f>""</f>
        <v/>
      </c>
      <c r="Y540" s="9" t="str">
        <f>""</f>
        <v/>
      </c>
      <c r="Z540" s="5" t="str">
        <f>""</f>
        <v/>
      </c>
      <c r="AA540" s="5" t="str">
        <f>""</f>
        <v/>
      </c>
      <c r="AB540" s="5" t="str">
        <f>""</f>
        <v/>
      </c>
      <c r="AC540" s="5" t="str">
        <f>""</f>
        <v/>
      </c>
      <c r="AD540" s="5" t="str">
        <f>""</f>
        <v/>
      </c>
      <c r="AE540" s="5" t="str">
        <f>""</f>
        <v/>
      </c>
      <c r="AF540" s="5" t="str">
        <f>""</f>
        <v/>
      </c>
      <c r="AG540" s="5" t="str">
        <f>""</f>
        <v/>
      </c>
      <c r="AH540" s="5" t="str">
        <f>""</f>
        <v/>
      </c>
      <c r="AI540" s="5" t="str">
        <f>""</f>
        <v/>
      </c>
      <c r="AJ540" s="5" t="str">
        <f>""</f>
        <v/>
      </c>
      <c r="AK540" s="8" t="str">
        <f>""</f>
        <v/>
      </c>
      <c r="AL540" s="5" t="str">
        <f>"25,00"</f>
        <v>25,00</v>
      </c>
      <c r="AM540" s="5" t="str">
        <f>"2035"</f>
        <v>2035</v>
      </c>
      <c r="AN540" s="5" t="str">
        <f t="shared" si="788"/>
        <v>нет</v>
      </c>
      <c r="AO540" s="5" t="str">
        <f>""</f>
        <v/>
      </c>
      <c r="AP540" s="5" t="str">
        <f>""</f>
        <v/>
      </c>
      <c r="AQ540" s="5" t="str">
        <f>""</f>
        <v/>
      </c>
      <c r="AR540" s="5" t="str">
        <f t="shared" si="785"/>
        <v>нет</v>
      </c>
      <c r="AS540" s="5" t="str">
        <f>""</f>
        <v/>
      </c>
      <c r="AT540" s="5" t="str">
        <f>""</f>
        <v/>
      </c>
      <c r="AU540" s="5" t="str">
        <f>""</f>
        <v/>
      </c>
      <c r="AV540" s="5" t="str">
        <f t="shared" si="791"/>
        <v>х</v>
      </c>
      <c r="AW540" s="5" t="str">
        <f t="shared" si="791"/>
        <v>х</v>
      </c>
      <c r="AX540" s="5" t="str">
        <f t="shared" si="791"/>
        <v>х</v>
      </c>
      <c r="AY540" s="5" t="str">
        <f t="shared" si="791"/>
        <v>х</v>
      </c>
      <c r="AZ540" s="5" t="str">
        <f t="shared" si="791"/>
        <v>х</v>
      </c>
      <c r="BA540" s="5" t="str">
        <f t="shared" si="791"/>
        <v>х</v>
      </c>
      <c r="BB540" s="5" t="str">
        <f t="shared" si="791"/>
        <v>х</v>
      </c>
      <c r="BC540" s="5" t="str">
        <f t="shared" si="791"/>
        <v>х</v>
      </c>
      <c r="BD540" s="5" t="str">
        <f t="shared" si="791"/>
        <v>х</v>
      </c>
      <c r="BE540" s="5" t="str">
        <f t="shared" si="791"/>
        <v>х</v>
      </c>
      <c r="BF540" s="5" t="str">
        <f t="shared" si="791"/>
        <v>х</v>
      </c>
      <c r="BG540" s="5" t="str">
        <f>""</f>
        <v/>
      </c>
      <c r="BH540" s="5" t="str">
        <f>"17,00"</f>
        <v>17,00</v>
      </c>
      <c r="BI540" s="5" t="str">
        <f>"2035"</f>
        <v>2035</v>
      </c>
      <c r="BJ540" s="5" t="str">
        <f t="shared" si="783"/>
        <v>нет</v>
      </c>
      <c r="BK540" s="5" t="str">
        <f>""</f>
        <v/>
      </c>
      <c r="BL540" s="5" t="str">
        <f>""</f>
        <v/>
      </c>
      <c r="BM540" s="5" t="str">
        <f>""</f>
        <v/>
      </c>
      <c r="BN540" s="5" t="str">
        <f t="shared" si="784"/>
        <v>нет</v>
      </c>
      <c r="BO540" s="5" t="str">
        <f>""</f>
        <v/>
      </c>
      <c r="BP540" s="5" t="str">
        <f>""</f>
        <v/>
      </c>
      <c r="BQ540" s="5" t="str">
        <f>""</f>
        <v/>
      </c>
      <c r="BR540" s="5" t="str">
        <f>""</f>
        <v/>
      </c>
      <c r="BS540" s="5" t="str">
        <f>"64,00"</f>
        <v>64,00</v>
      </c>
      <c r="BT540" s="5" t="str">
        <f>"2022"</f>
        <v>2022</v>
      </c>
      <c r="BU540" s="5" t="str">
        <f t="shared" si="752"/>
        <v>нет</v>
      </c>
      <c r="BV540" s="5" t="str">
        <f t="shared" ref="BV540:BX559" si="794">"x"</f>
        <v>x</v>
      </c>
      <c r="BW540" s="5" t="str">
        <f t="shared" si="794"/>
        <v>x</v>
      </c>
      <c r="BX540" s="5" t="str">
        <f t="shared" si="794"/>
        <v>x</v>
      </c>
      <c r="BY540" s="5" t="str">
        <f t="shared" si="792"/>
        <v>нет</v>
      </c>
      <c r="BZ540" s="5" t="str">
        <f t="shared" si="793"/>
        <v>x</v>
      </c>
      <c r="CA540" s="5" t="str">
        <f t="shared" si="793"/>
        <v>x</v>
      </c>
      <c r="CB540" s="5" t="str">
        <f t="shared" si="793"/>
        <v>x</v>
      </c>
      <c r="CC540" s="5" t="str">
        <f>""</f>
        <v/>
      </c>
      <c r="CD540" s="5" t="str">
        <f>"45,00"</f>
        <v>45,00</v>
      </c>
      <c r="CE540" s="5" t="str">
        <f>"2025"</f>
        <v>2025</v>
      </c>
      <c r="CF540" s="5" t="str">
        <f>""</f>
        <v/>
      </c>
      <c r="CG540" s="5" t="str">
        <f>"45,00"</f>
        <v>45,00</v>
      </c>
      <c r="CH540" s="5" t="str">
        <f>"2025"</f>
        <v>2025</v>
      </c>
      <c r="CI540" s="5" t="str">
        <f>"45,00"</f>
        <v>45,00</v>
      </c>
      <c r="CJ540" s="5" t="str">
        <f>"2025"</f>
        <v>2025</v>
      </c>
    </row>
    <row r="541" spans="1:88" ht="11.25" customHeight="1">
      <c r="A541" s="3" t="str">
        <f>"1.528"</f>
        <v>1.528</v>
      </c>
      <c r="B541" s="4" t="str">
        <f>"пгт. Вохтога, ул. Молодежная, д.13"</f>
        <v>пгт. Вохтога, ул. Молодежная, д.13</v>
      </c>
      <c r="C541" s="7" t="str">
        <f>"1973"</f>
        <v>1973</v>
      </c>
      <c r="D541" s="5" t="str">
        <f>""</f>
        <v/>
      </c>
      <c r="E541" s="5" t="str">
        <f>"10,00"</f>
        <v>10,00</v>
      </c>
      <c r="F541" s="5" t="str">
        <f>"2039"</f>
        <v>2039</v>
      </c>
      <c r="G541" s="5" t="str">
        <f t="shared" si="789"/>
        <v>нет</v>
      </c>
      <c r="H541" s="5" t="str">
        <f>""</f>
        <v/>
      </c>
      <c r="I541" s="5" t="str">
        <f>""</f>
        <v/>
      </c>
      <c r="J541" s="5" t="str">
        <f>""</f>
        <v/>
      </c>
      <c r="K541" s="5" t="str">
        <f t="shared" si="790"/>
        <v>нет</v>
      </c>
      <c r="L541" s="5" t="str">
        <f>""</f>
        <v/>
      </c>
      <c r="M541" s="5" t="str">
        <f>""</f>
        <v/>
      </c>
      <c r="N541" s="5" t="str">
        <f>""</f>
        <v/>
      </c>
      <c r="O541" s="8" t="str">
        <f>""</f>
        <v/>
      </c>
      <c r="P541" s="5" t="str">
        <f>"20,00"</f>
        <v>20,00</v>
      </c>
      <c r="Q541" s="5" t="str">
        <f>"2034"</f>
        <v>2034</v>
      </c>
      <c r="R541" s="5" t="str">
        <f t="shared" si="786"/>
        <v>нет</v>
      </c>
      <c r="S541" s="5" t="str">
        <f>""</f>
        <v/>
      </c>
      <c r="T541" s="5" t="str">
        <f>""</f>
        <v/>
      </c>
      <c r="U541" s="5" t="str">
        <f>""</f>
        <v/>
      </c>
      <c r="V541" s="5" t="str">
        <f t="shared" si="787"/>
        <v>нет</v>
      </c>
      <c r="W541" s="5" t="str">
        <f>""</f>
        <v/>
      </c>
      <c r="X541" s="5" t="str">
        <f>""</f>
        <v/>
      </c>
      <c r="Y541" s="9" t="str">
        <f>""</f>
        <v/>
      </c>
      <c r="Z541" s="5" t="str">
        <f>""</f>
        <v/>
      </c>
      <c r="AA541" s="5" t="str">
        <f>""</f>
        <v/>
      </c>
      <c r="AB541" s="5" t="str">
        <f>""</f>
        <v/>
      </c>
      <c r="AC541" s="5" t="str">
        <f>""</f>
        <v/>
      </c>
      <c r="AD541" s="5" t="str">
        <f>""</f>
        <v/>
      </c>
      <c r="AE541" s="5" t="str">
        <f>""</f>
        <v/>
      </c>
      <c r="AF541" s="5" t="str">
        <f>""</f>
        <v/>
      </c>
      <c r="AG541" s="5" t="str">
        <f>""</f>
        <v/>
      </c>
      <c r="AH541" s="5" t="str">
        <f>""</f>
        <v/>
      </c>
      <c r="AI541" s="5" t="str">
        <f>""</f>
        <v/>
      </c>
      <c r="AJ541" s="5" t="str">
        <f>""</f>
        <v/>
      </c>
      <c r="AK541" s="8" t="str">
        <f>""</f>
        <v/>
      </c>
      <c r="AL541" s="5" t="str">
        <f>"20,00"</f>
        <v>20,00</v>
      </c>
      <c r="AM541" s="5" t="str">
        <f>"2039"</f>
        <v>2039</v>
      </c>
      <c r="AN541" s="5" t="str">
        <f t="shared" si="788"/>
        <v>нет</v>
      </c>
      <c r="AO541" s="5" t="str">
        <f>""</f>
        <v/>
      </c>
      <c r="AP541" s="5" t="str">
        <f>""</f>
        <v/>
      </c>
      <c r="AQ541" s="5" t="str">
        <f>""</f>
        <v/>
      </c>
      <c r="AR541" s="5" t="str">
        <f t="shared" si="785"/>
        <v>нет</v>
      </c>
      <c r="AS541" s="5" t="str">
        <f>""</f>
        <v/>
      </c>
      <c r="AT541" s="5" t="str">
        <f>""</f>
        <v/>
      </c>
      <c r="AU541" s="5" t="str">
        <f>""</f>
        <v/>
      </c>
      <c r="AV541" s="5" t="str">
        <f t="shared" si="791"/>
        <v>х</v>
      </c>
      <c r="AW541" s="5" t="str">
        <f t="shared" si="791"/>
        <v>х</v>
      </c>
      <c r="AX541" s="5" t="str">
        <f t="shared" si="791"/>
        <v>х</v>
      </c>
      <c r="AY541" s="5" t="str">
        <f t="shared" si="791"/>
        <v>х</v>
      </c>
      <c r="AZ541" s="5" t="str">
        <f t="shared" si="791"/>
        <v>х</v>
      </c>
      <c r="BA541" s="5" t="str">
        <f t="shared" si="791"/>
        <v>х</v>
      </c>
      <c r="BB541" s="5" t="str">
        <f t="shared" si="791"/>
        <v>х</v>
      </c>
      <c r="BC541" s="5" t="str">
        <f t="shared" si="791"/>
        <v>х</v>
      </c>
      <c r="BD541" s="5" t="str">
        <f t="shared" si="791"/>
        <v>х</v>
      </c>
      <c r="BE541" s="5" t="str">
        <f t="shared" si="791"/>
        <v>х</v>
      </c>
      <c r="BF541" s="5" t="str">
        <f t="shared" si="791"/>
        <v>х</v>
      </c>
      <c r="BG541" s="5" t="str">
        <f>""</f>
        <v/>
      </c>
      <c r="BH541" s="5" t="str">
        <f>"10,00"</f>
        <v>10,00</v>
      </c>
      <c r="BI541" s="5" t="str">
        <f>"2040"</f>
        <v>2040</v>
      </c>
      <c r="BJ541" s="5" t="str">
        <f t="shared" si="783"/>
        <v>нет</v>
      </c>
      <c r="BK541" s="5" t="str">
        <f>""</f>
        <v/>
      </c>
      <c r="BL541" s="5" t="str">
        <f>""</f>
        <v/>
      </c>
      <c r="BM541" s="5" t="str">
        <f>""</f>
        <v/>
      </c>
      <c r="BN541" s="5" t="str">
        <f t="shared" si="784"/>
        <v>нет</v>
      </c>
      <c r="BO541" s="5" t="str">
        <f>""</f>
        <v/>
      </c>
      <c r="BP541" s="5" t="str">
        <f>""</f>
        <v/>
      </c>
      <c r="BQ541" s="5" t="str">
        <f>""</f>
        <v/>
      </c>
      <c r="BR541" s="5" t="str">
        <f>""</f>
        <v/>
      </c>
      <c r="BS541" s="5" t="str">
        <f>"30,00"</f>
        <v>30,00</v>
      </c>
      <c r="BT541" s="5" t="str">
        <f>"2030"</f>
        <v>2030</v>
      </c>
      <c r="BU541" s="5" t="str">
        <f t="shared" si="752"/>
        <v>нет</v>
      </c>
      <c r="BV541" s="5" t="str">
        <f t="shared" si="794"/>
        <v>x</v>
      </c>
      <c r="BW541" s="5" t="str">
        <f t="shared" si="794"/>
        <v>x</v>
      </c>
      <c r="BX541" s="5" t="str">
        <f t="shared" si="794"/>
        <v>x</v>
      </c>
      <c r="BY541" s="5" t="str">
        <f t="shared" si="792"/>
        <v>нет</v>
      </c>
      <c r="BZ541" s="5" t="str">
        <f t="shared" si="793"/>
        <v>x</v>
      </c>
      <c r="CA541" s="5" t="str">
        <f t="shared" si="793"/>
        <v>x</v>
      </c>
      <c r="CB541" s="5" t="str">
        <f t="shared" si="793"/>
        <v>x</v>
      </c>
      <c r="CC541" s="5" t="str">
        <f>""</f>
        <v/>
      </c>
      <c r="CD541" s="5" t="str">
        <f>"28,00"</f>
        <v>28,00</v>
      </c>
      <c r="CE541" s="5" t="str">
        <f>"2034"</f>
        <v>2034</v>
      </c>
      <c r="CF541" s="5" t="str">
        <f>""</f>
        <v/>
      </c>
      <c r="CG541" s="5" t="str">
        <f>"25,00"</f>
        <v>25,00</v>
      </c>
      <c r="CH541" s="5" t="str">
        <f>"2034"</f>
        <v>2034</v>
      </c>
      <c r="CI541" s="5" t="str">
        <f>"27,00"</f>
        <v>27,00</v>
      </c>
      <c r="CJ541" s="5" t="str">
        <f>"2034"</f>
        <v>2034</v>
      </c>
    </row>
    <row r="542" spans="1:88" ht="11.25" customHeight="1">
      <c r="A542" s="3" t="str">
        <f>"1.529"</f>
        <v>1.529</v>
      </c>
      <c r="B542" s="4" t="str">
        <f>"пгт. Вохтога, ул. Молодежная, д.15"</f>
        <v>пгт. Вохтога, ул. Молодежная, д.15</v>
      </c>
      <c r="C542" s="7" t="str">
        <f>"1971"</f>
        <v>1971</v>
      </c>
      <c r="D542" s="5" t="str">
        <f>""</f>
        <v/>
      </c>
      <c r="E542" s="5" t="str">
        <f>"40,00"</f>
        <v>40,00</v>
      </c>
      <c r="F542" s="5" t="str">
        <f>"2020"</f>
        <v>2020</v>
      </c>
      <c r="G542" s="5" t="str">
        <f t="shared" si="789"/>
        <v>нет</v>
      </c>
      <c r="H542" s="5" t="str">
        <f>""</f>
        <v/>
      </c>
      <c r="I542" s="5" t="str">
        <f>""</f>
        <v/>
      </c>
      <c r="J542" s="5" t="str">
        <f>""</f>
        <v/>
      </c>
      <c r="K542" s="5" t="str">
        <f t="shared" si="790"/>
        <v>нет</v>
      </c>
      <c r="L542" s="5" t="str">
        <f>""</f>
        <v/>
      </c>
      <c r="M542" s="5" t="str">
        <f>""</f>
        <v/>
      </c>
      <c r="N542" s="5" t="str">
        <f>""</f>
        <v/>
      </c>
      <c r="O542" s="8" t="str">
        <f>""</f>
        <v/>
      </c>
      <c r="P542" s="5" t="str">
        <f>"64,00"</f>
        <v>64,00</v>
      </c>
      <c r="Q542" s="5" t="str">
        <f>"2020"</f>
        <v>2020</v>
      </c>
      <c r="R542" s="5" t="str">
        <f t="shared" si="786"/>
        <v>нет</v>
      </c>
      <c r="S542" s="5" t="str">
        <f>""</f>
        <v/>
      </c>
      <c r="T542" s="5" t="str">
        <f>""</f>
        <v/>
      </c>
      <c r="U542" s="5" t="str">
        <f>""</f>
        <v/>
      </c>
      <c r="V542" s="5" t="str">
        <f t="shared" si="787"/>
        <v>нет</v>
      </c>
      <c r="W542" s="5" t="str">
        <f>""</f>
        <v/>
      </c>
      <c r="X542" s="5" t="str">
        <f>""</f>
        <v/>
      </c>
      <c r="Y542" s="9" t="str">
        <f>""</f>
        <v/>
      </c>
      <c r="Z542" s="5" t="str">
        <f>""</f>
        <v/>
      </c>
      <c r="AA542" s="5" t="str">
        <f>""</f>
        <v/>
      </c>
      <c r="AB542" s="5" t="str">
        <f>""</f>
        <v/>
      </c>
      <c r="AC542" s="5" t="str">
        <f>""</f>
        <v/>
      </c>
      <c r="AD542" s="5" t="str">
        <f>""</f>
        <v/>
      </c>
      <c r="AE542" s="5" t="str">
        <f>""</f>
        <v/>
      </c>
      <c r="AF542" s="5" t="str">
        <f>""</f>
        <v/>
      </c>
      <c r="AG542" s="5" t="str">
        <f>""</f>
        <v/>
      </c>
      <c r="AH542" s="5" t="str">
        <f>""</f>
        <v/>
      </c>
      <c r="AI542" s="5" t="str">
        <f>""</f>
        <v/>
      </c>
      <c r="AJ542" s="5" t="str">
        <f>""</f>
        <v/>
      </c>
      <c r="AK542" s="8" t="str">
        <f>""</f>
        <v/>
      </c>
      <c r="AL542" s="5" t="str">
        <f>"30,00"</f>
        <v>30,00</v>
      </c>
      <c r="AM542" s="5" t="str">
        <f>"2027"</f>
        <v>2027</v>
      </c>
      <c r="AN542" s="5" t="str">
        <f t="shared" si="788"/>
        <v>нет</v>
      </c>
      <c r="AO542" s="5" t="str">
        <f>""</f>
        <v/>
      </c>
      <c r="AP542" s="5" t="str">
        <f>""</f>
        <v/>
      </c>
      <c r="AQ542" s="5" t="str">
        <f>""</f>
        <v/>
      </c>
      <c r="AR542" s="5" t="str">
        <f t="shared" si="785"/>
        <v>нет</v>
      </c>
      <c r="AS542" s="5" t="str">
        <f>""</f>
        <v/>
      </c>
      <c r="AT542" s="5" t="str">
        <f>""</f>
        <v/>
      </c>
      <c r="AU542" s="5" t="str">
        <f>""</f>
        <v/>
      </c>
      <c r="AV542" s="5" t="str">
        <f t="shared" si="791"/>
        <v>х</v>
      </c>
      <c r="AW542" s="5" t="str">
        <f t="shared" si="791"/>
        <v>х</v>
      </c>
      <c r="AX542" s="5" t="str">
        <f t="shared" si="791"/>
        <v>х</v>
      </c>
      <c r="AY542" s="5" t="str">
        <f t="shared" si="791"/>
        <v>х</v>
      </c>
      <c r="AZ542" s="5" t="str">
        <f t="shared" si="791"/>
        <v>х</v>
      </c>
      <c r="BA542" s="5" t="str">
        <f t="shared" si="791"/>
        <v>х</v>
      </c>
      <c r="BB542" s="5" t="str">
        <f t="shared" si="791"/>
        <v>х</v>
      </c>
      <c r="BC542" s="5" t="str">
        <f t="shared" si="791"/>
        <v>х</v>
      </c>
      <c r="BD542" s="5" t="str">
        <f t="shared" si="791"/>
        <v>х</v>
      </c>
      <c r="BE542" s="5" t="str">
        <f t="shared" si="791"/>
        <v>х</v>
      </c>
      <c r="BF542" s="5" t="str">
        <f t="shared" si="791"/>
        <v>х</v>
      </c>
      <c r="BG542" s="5" t="str">
        <f>""</f>
        <v/>
      </c>
      <c r="BH542" s="5" t="str">
        <f>"30,00"</f>
        <v>30,00</v>
      </c>
      <c r="BI542" s="5" t="str">
        <f>"2027"</f>
        <v>2027</v>
      </c>
      <c r="BJ542" s="5" t="str">
        <f t="shared" si="783"/>
        <v>нет</v>
      </c>
      <c r="BK542" s="5" t="str">
        <f>""</f>
        <v/>
      </c>
      <c r="BL542" s="5" t="str">
        <f>""</f>
        <v/>
      </c>
      <c r="BM542" s="5" t="str">
        <f>""</f>
        <v/>
      </c>
      <c r="BN542" s="5" t="str">
        <f t="shared" si="784"/>
        <v>нет</v>
      </c>
      <c r="BO542" s="5" t="str">
        <f>""</f>
        <v/>
      </c>
      <c r="BP542" s="5" t="str">
        <f>""</f>
        <v/>
      </c>
      <c r="BQ542" s="5" t="str">
        <f>""</f>
        <v/>
      </c>
      <c r="BR542" s="5" t="str">
        <f>""</f>
        <v/>
      </c>
      <c r="BS542" s="5" t="str">
        <f>"49,00"</f>
        <v>49,00</v>
      </c>
      <c r="BT542" s="5" t="str">
        <f>"2022"</f>
        <v>2022</v>
      </c>
      <c r="BU542" s="5" t="str">
        <f t="shared" si="752"/>
        <v>нет</v>
      </c>
      <c r="BV542" s="5" t="str">
        <f t="shared" si="794"/>
        <v>x</v>
      </c>
      <c r="BW542" s="5" t="str">
        <f t="shared" si="794"/>
        <v>x</v>
      </c>
      <c r="BX542" s="5" t="str">
        <f t="shared" si="794"/>
        <v>x</v>
      </c>
      <c r="BY542" s="5" t="str">
        <f t="shared" si="792"/>
        <v>нет</v>
      </c>
      <c r="BZ542" s="5" t="str">
        <f t="shared" si="793"/>
        <v>x</v>
      </c>
      <c r="CA542" s="5" t="str">
        <f t="shared" si="793"/>
        <v>x</v>
      </c>
      <c r="CB542" s="5" t="str">
        <f t="shared" si="793"/>
        <v>x</v>
      </c>
      <c r="CC542" s="5" t="str">
        <f>""</f>
        <v/>
      </c>
      <c r="CD542" s="5" t="str">
        <f>"62,00"</f>
        <v>62,00</v>
      </c>
      <c r="CE542" s="5" t="str">
        <f>"2022"</f>
        <v>2022</v>
      </c>
      <c r="CF542" s="5" t="str">
        <f>""</f>
        <v/>
      </c>
      <c r="CG542" s="5" t="str">
        <f>"59,00"</f>
        <v>59,00</v>
      </c>
      <c r="CH542" s="5" t="str">
        <f>"2022"</f>
        <v>2022</v>
      </c>
      <c r="CI542" s="5" t="str">
        <f>"64,00"</f>
        <v>64,00</v>
      </c>
      <c r="CJ542" s="5" t="str">
        <f>"2022"</f>
        <v>2022</v>
      </c>
    </row>
    <row r="543" spans="1:88" ht="11.25" customHeight="1">
      <c r="A543" s="3" t="str">
        <f>"1.530"</f>
        <v>1.530</v>
      </c>
      <c r="B543" s="4" t="str">
        <f>"пгт. Вохтога, ул. Молодежная, д.3"</f>
        <v>пгт. Вохтога, ул. Молодежная, д.3</v>
      </c>
      <c r="C543" s="7" t="str">
        <f>"1987"</f>
        <v>1987</v>
      </c>
      <c r="D543" s="5" t="str">
        <f>""</f>
        <v/>
      </c>
      <c r="E543" s="5" t="str">
        <f>"45,00"</f>
        <v>45,00</v>
      </c>
      <c r="F543" s="5" t="str">
        <f>"2021"</f>
        <v>2021</v>
      </c>
      <c r="G543" s="5" t="str">
        <f t="shared" si="789"/>
        <v>нет</v>
      </c>
      <c r="H543" s="5" t="str">
        <f>""</f>
        <v/>
      </c>
      <c r="I543" s="5" t="str">
        <f>""</f>
        <v/>
      </c>
      <c r="J543" s="5" t="str">
        <f>""</f>
        <v/>
      </c>
      <c r="K543" s="5" t="str">
        <f t="shared" si="790"/>
        <v>нет</v>
      </c>
      <c r="L543" s="5" t="str">
        <f>""</f>
        <v/>
      </c>
      <c r="M543" s="5" t="str">
        <f>""</f>
        <v/>
      </c>
      <c r="N543" s="5" t="str">
        <f>""</f>
        <v/>
      </c>
      <c r="O543" s="8" t="str">
        <f>""</f>
        <v/>
      </c>
      <c r="P543" s="5" t="str">
        <f>"52,00"</f>
        <v>52,00</v>
      </c>
      <c r="Q543" s="5" t="str">
        <f>"2021"</f>
        <v>2021</v>
      </c>
      <c r="R543" s="5" t="str">
        <f t="shared" si="786"/>
        <v>нет</v>
      </c>
      <c r="S543" s="5" t="str">
        <f>""</f>
        <v/>
      </c>
      <c r="T543" s="5" t="str">
        <f>""</f>
        <v/>
      </c>
      <c r="U543" s="5" t="str">
        <f>""</f>
        <v/>
      </c>
      <c r="V543" s="5" t="str">
        <f t="shared" si="787"/>
        <v>нет</v>
      </c>
      <c r="W543" s="5" t="str">
        <f>""</f>
        <v/>
      </c>
      <c r="X543" s="5" t="str">
        <f>""</f>
        <v/>
      </c>
      <c r="Y543" s="9" t="str">
        <f>""</f>
        <v/>
      </c>
      <c r="Z543" s="5" t="str">
        <f>""</f>
        <v/>
      </c>
      <c r="AA543" s="5" t="str">
        <f>""</f>
        <v/>
      </c>
      <c r="AB543" s="5" t="str">
        <f>""</f>
        <v/>
      </c>
      <c r="AC543" s="5" t="str">
        <f>""</f>
        <v/>
      </c>
      <c r="AD543" s="5" t="str">
        <f>""</f>
        <v/>
      </c>
      <c r="AE543" s="5" t="str">
        <f>""</f>
        <v/>
      </c>
      <c r="AF543" s="5" t="str">
        <f>""</f>
        <v/>
      </c>
      <c r="AG543" s="5" t="str">
        <f>""</f>
        <v/>
      </c>
      <c r="AH543" s="5" t="str">
        <f>""</f>
        <v/>
      </c>
      <c r="AI543" s="5" t="str">
        <f>""</f>
        <v/>
      </c>
      <c r="AJ543" s="5" t="str">
        <f>""</f>
        <v/>
      </c>
      <c r="AK543" s="8" t="str">
        <f>""</f>
        <v/>
      </c>
      <c r="AL543" s="5" t="str">
        <f>"25,00"</f>
        <v>25,00</v>
      </c>
      <c r="AM543" s="5" t="str">
        <f>"2039"</f>
        <v>2039</v>
      </c>
      <c r="AN543" s="5" t="str">
        <f t="shared" si="788"/>
        <v>нет</v>
      </c>
      <c r="AO543" s="5" t="str">
        <f>""</f>
        <v/>
      </c>
      <c r="AP543" s="5" t="str">
        <f>""</f>
        <v/>
      </c>
      <c r="AQ543" s="5" t="str">
        <f>""</f>
        <v/>
      </c>
      <c r="AR543" s="5" t="str">
        <f t="shared" si="785"/>
        <v>нет</v>
      </c>
      <c r="AS543" s="5" t="str">
        <f>""</f>
        <v/>
      </c>
      <c r="AT543" s="5" t="str">
        <f>""</f>
        <v/>
      </c>
      <c r="AU543" s="5" t="str">
        <f>""</f>
        <v/>
      </c>
      <c r="AV543" s="5" t="str">
        <f t="shared" si="791"/>
        <v>х</v>
      </c>
      <c r="AW543" s="5" t="str">
        <f t="shared" si="791"/>
        <v>х</v>
      </c>
      <c r="AX543" s="5" t="str">
        <f t="shared" si="791"/>
        <v>х</v>
      </c>
      <c r="AY543" s="5" t="str">
        <f t="shared" si="791"/>
        <v>х</v>
      </c>
      <c r="AZ543" s="5" t="str">
        <f t="shared" si="791"/>
        <v>х</v>
      </c>
      <c r="BA543" s="5" t="str">
        <f t="shared" si="791"/>
        <v>х</v>
      </c>
      <c r="BB543" s="5" t="str">
        <f t="shared" si="791"/>
        <v>х</v>
      </c>
      <c r="BC543" s="5" t="str">
        <f t="shared" si="791"/>
        <v>х</v>
      </c>
      <c r="BD543" s="5" t="str">
        <f t="shared" si="791"/>
        <v>х</v>
      </c>
      <c r="BE543" s="5" t="str">
        <f t="shared" si="791"/>
        <v>х</v>
      </c>
      <c r="BF543" s="5" t="str">
        <f t="shared" si="791"/>
        <v>х</v>
      </c>
      <c r="BG543" s="5" t="str">
        <f>""</f>
        <v/>
      </c>
      <c r="BH543" s="5" t="str">
        <f>"15,00"</f>
        <v>15,00</v>
      </c>
      <c r="BI543" s="5" t="str">
        <f>"2039"</f>
        <v>2039</v>
      </c>
      <c r="BJ543" s="5" t="str">
        <f t="shared" si="783"/>
        <v>нет</v>
      </c>
      <c r="BK543" s="5" t="str">
        <f>""</f>
        <v/>
      </c>
      <c r="BL543" s="5" t="str">
        <f>""</f>
        <v/>
      </c>
      <c r="BM543" s="5" t="str">
        <f>""</f>
        <v/>
      </c>
      <c r="BN543" s="5" t="str">
        <f t="shared" si="784"/>
        <v>нет</v>
      </c>
      <c r="BO543" s="5" t="str">
        <f>""</f>
        <v/>
      </c>
      <c r="BP543" s="5" t="str">
        <f>""</f>
        <v/>
      </c>
      <c r="BQ543" s="5" t="str">
        <f>""</f>
        <v/>
      </c>
      <c r="BR543" s="5" t="str">
        <f>""</f>
        <v/>
      </c>
      <c r="BS543" s="5" t="str">
        <f>"40,00"</f>
        <v>40,00</v>
      </c>
      <c r="BT543" s="5" t="str">
        <f>"2030"</f>
        <v>2030</v>
      </c>
      <c r="BU543" s="5" t="str">
        <f t="shared" si="752"/>
        <v>нет</v>
      </c>
      <c r="BV543" s="5" t="str">
        <f t="shared" si="794"/>
        <v>x</v>
      </c>
      <c r="BW543" s="5" t="str">
        <f t="shared" si="794"/>
        <v>x</v>
      </c>
      <c r="BX543" s="5" t="str">
        <f t="shared" si="794"/>
        <v>x</v>
      </c>
      <c r="BY543" s="5" t="str">
        <f t="shared" si="792"/>
        <v>нет</v>
      </c>
      <c r="BZ543" s="5" t="str">
        <f t="shared" si="793"/>
        <v>x</v>
      </c>
      <c r="CA543" s="5" t="str">
        <f t="shared" si="793"/>
        <v>x</v>
      </c>
      <c r="CB543" s="5" t="str">
        <f t="shared" si="793"/>
        <v>x</v>
      </c>
      <c r="CC543" s="5" t="str">
        <f>""</f>
        <v/>
      </c>
      <c r="CD543" s="5" t="str">
        <f>"52,00"</f>
        <v>52,00</v>
      </c>
      <c r="CE543" s="5" t="str">
        <f>"2021"</f>
        <v>2021</v>
      </c>
      <c r="CF543" s="5" t="str">
        <f>""</f>
        <v/>
      </c>
      <c r="CG543" s="5" t="str">
        <f>"52,00"</f>
        <v>52,00</v>
      </c>
      <c r="CH543" s="5" t="str">
        <f>"2021"</f>
        <v>2021</v>
      </c>
      <c r="CI543" s="5" t="str">
        <f>"52,00"</f>
        <v>52,00</v>
      </c>
      <c r="CJ543" s="5" t="str">
        <f>"2021"</f>
        <v>2021</v>
      </c>
    </row>
    <row r="544" spans="1:88" ht="11.25" customHeight="1">
      <c r="A544" s="3" t="str">
        <f>"1.531"</f>
        <v>1.531</v>
      </c>
      <c r="B544" s="4" t="str">
        <f>"пгт. Вохтога, ул. Молодежная, д.5"</f>
        <v>пгт. Вохтога, ул. Молодежная, д.5</v>
      </c>
      <c r="C544" s="7" t="str">
        <f>"1971"</f>
        <v>1971</v>
      </c>
      <c r="D544" s="5" t="str">
        <f>""</f>
        <v/>
      </c>
      <c r="E544" s="5" t="str">
        <f>"25,00"</f>
        <v>25,00</v>
      </c>
      <c r="F544" s="5" t="str">
        <f>"2038"</f>
        <v>2038</v>
      </c>
      <c r="G544" s="5" t="str">
        <f t="shared" si="789"/>
        <v>нет</v>
      </c>
      <c r="H544" s="5" t="str">
        <f>""</f>
        <v/>
      </c>
      <c r="I544" s="5" t="str">
        <f>""</f>
        <v/>
      </c>
      <c r="J544" s="5" t="str">
        <f>""</f>
        <v/>
      </c>
      <c r="K544" s="5" t="str">
        <f t="shared" si="790"/>
        <v>нет</v>
      </c>
      <c r="L544" s="5" t="str">
        <f>""</f>
        <v/>
      </c>
      <c r="M544" s="5" t="str">
        <f>""</f>
        <v/>
      </c>
      <c r="N544" s="5" t="str">
        <f>""</f>
        <v/>
      </c>
      <c r="O544" s="8" t="str">
        <f>""</f>
        <v/>
      </c>
      <c r="P544" s="5" t="str">
        <f>"45,00"</f>
        <v>45,00</v>
      </c>
      <c r="Q544" s="5" t="str">
        <f>"2027"</f>
        <v>2027</v>
      </c>
      <c r="R544" s="5" t="str">
        <f t="shared" si="786"/>
        <v>нет</v>
      </c>
      <c r="S544" s="5" t="str">
        <f>""</f>
        <v/>
      </c>
      <c r="T544" s="5" t="str">
        <f>""</f>
        <v/>
      </c>
      <c r="U544" s="5" t="str">
        <f>""</f>
        <v/>
      </c>
      <c r="V544" s="5" t="str">
        <f t="shared" si="787"/>
        <v>нет</v>
      </c>
      <c r="W544" s="5" t="str">
        <f>""</f>
        <v/>
      </c>
      <c r="X544" s="5" t="str">
        <f>""</f>
        <v/>
      </c>
      <c r="Y544" s="9" t="str">
        <f>""</f>
        <v/>
      </c>
      <c r="Z544" s="5" t="str">
        <f>""</f>
        <v/>
      </c>
      <c r="AA544" s="5" t="str">
        <f>""</f>
        <v/>
      </c>
      <c r="AB544" s="5" t="str">
        <f>""</f>
        <v/>
      </c>
      <c r="AC544" s="5" t="str">
        <f>""</f>
        <v/>
      </c>
      <c r="AD544" s="5" t="str">
        <f>""</f>
        <v/>
      </c>
      <c r="AE544" s="5" t="str">
        <f>""</f>
        <v/>
      </c>
      <c r="AF544" s="5" t="str">
        <f>""</f>
        <v/>
      </c>
      <c r="AG544" s="5" t="str">
        <f>""</f>
        <v/>
      </c>
      <c r="AH544" s="5" t="str">
        <f>""</f>
        <v/>
      </c>
      <c r="AI544" s="5" t="str">
        <f>""</f>
        <v/>
      </c>
      <c r="AJ544" s="5" t="str">
        <f>""</f>
        <v/>
      </c>
      <c r="AK544" s="8" t="str">
        <f>""</f>
        <v/>
      </c>
      <c r="AL544" s="5" t="str">
        <f>"20,00"</f>
        <v>20,00</v>
      </c>
      <c r="AM544" s="5" t="str">
        <f>"2038"</f>
        <v>2038</v>
      </c>
      <c r="AN544" s="5" t="str">
        <f t="shared" si="788"/>
        <v>нет</v>
      </c>
      <c r="AO544" s="5" t="str">
        <f>""</f>
        <v/>
      </c>
      <c r="AP544" s="5" t="str">
        <f>""</f>
        <v/>
      </c>
      <c r="AQ544" s="5" t="str">
        <f>""</f>
        <v/>
      </c>
      <c r="AR544" s="5" t="str">
        <f t="shared" si="785"/>
        <v>нет</v>
      </c>
      <c r="AS544" s="5" t="str">
        <f>""</f>
        <v/>
      </c>
      <c r="AT544" s="5" t="str">
        <f>""</f>
        <v/>
      </c>
      <c r="AU544" s="5" t="str">
        <f>""</f>
        <v/>
      </c>
      <c r="AV544" s="5" t="str">
        <f t="shared" si="791"/>
        <v>х</v>
      </c>
      <c r="AW544" s="5" t="str">
        <f t="shared" si="791"/>
        <v>х</v>
      </c>
      <c r="AX544" s="5" t="str">
        <f t="shared" si="791"/>
        <v>х</v>
      </c>
      <c r="AY544" s="5" t="str">
        <f t="shared" si="791"/>
        <v>х</v>
      </c>
      <c r="AZ544" s="5" t="str">
        <f t="shared" si="791"/>
        <v>х</v>
      </c>
      <c r="BA544" s="5" t="str">
        <f t="shared" si="791"/>
        <v>х</v>
      </c>
      <c r="BB544" s="5" t="str">
        <f t="shared" si="791"/>
        <v>х</v>
      </c>
      <c r="BC544" s="5" t="str">
        <f t="shared" si="791"/>
        <v>х</v>
      </c>
      <c r="BD544" s="5" t="str">
        <f t="shared" si="791"/>
        <v>х</v>
      </c>
      <c r="BE544" s="5" t="str">
        <f t="shared" si="791"/>
        <v>х</v>
      </c>
      <c r="BF544" s="5" t="str">
        <f t="shared" si="791"/>
        <v>х</v>
      </c>
      <c r="BG544" s="5" t="str">
        <f>""</f>
        <v/>
      </c>
      <c r="BH544" s="5" t="str">
        <f>"15,00"</f>
        <v>15,00</v>
      </c>
      <c r="BI544" s="5" t="str">
        <f>"2038"</f>
        <v>2038</v>
      </c>
      <c r="BJ544" s="5" t="str">
        <f t="shared" si="783"/>
        <v>нет</v>
      </c>
      <c r="BK544" s="5" t="str">
        <f>""</f>
        <v/>
      </c>
      <c r="BL544" s="5" t="str">
        <f>""</f>
        <v/>
      </c>
      <c r="BM544" s="5" t="str">
        <f>""</f>
        <v/>
      </c>
      <c r="BN544" s="5" t="str">
        <f t="shared" si="784"/>
        <v>нет</v>
      </c>
      <c r="BO544" s="5" t="str">
        <f>""</f>
        <v/>
      </c>
      <c r="BP544" s="5" t="str">
        <f>""</f>
        <v/>
      </c>
      <c r="BQ544" s="5" t="str">
        <f>""</f>
        <v/>
      </c>
      <c r="BR544" s="5" t="str">
        <f>""</f>
        <v/>
      </c>
      <c r="BS544" s="5" t="str">
        <f>"56,00"</f>
        <v>56,00</v>
      </c>
      <c r="BT544" s="5" t="str">
        <f>"2017"</f>
        <v>2017</v>
      </c>
      <c r="BU544" s="5" t="str">
        <f t="shared" si="752"/>
        <v>нет</v>
      </c>
      <c r="BV544" s="5" t="str">
        <f t="shared" si="794"/>
        <v>x</v>
      </c>
      <c r="BW544" s="5" t="str">
        <f t="shared" si="794"/>
        <v>x</v>
      </c>
      <c r="BX544" s="5" t="str">
        <f t="shared" si="794"/>
        <v>x</v>
      </c>
      <c r="BY544" s="5" t="str">
        <f t="shared" si="792"/>
        <v>нет</v>
      </c>
      <c r="BZ544" s="5" t="str">
        <f t="shared" si="793"/>
        <v>x</v>
      </c>
      <c r="CA544" s="5" t="str">
        <f t="shared" si="793"/>
        <v>x</v>
      </c>
      <c r="CB544" s="5" t="str">
        <f t="shared" si="793"/>
        <v>x</v>
      </c>
      <c r="CC544" s="5" t="str">
        <f>""</f>
        <v/>
      </c>
      <c r="CD544" s="5" t="str">
        <f>"49,00"</f>
        <v>49,00</v>
      </c>
      <c r="CE544" s="5" t="str">
        <f>"2020"</f>
        <v>2020</v>
      </c>
      <c r="CF544" s="5" t="str">
        <f>""</f>
        <v/>
      </c>
      <c r="CG544" s="5" t="str">
        <f>"30,00"</f>
        <v>30,00</v>
      </c>
      <c r="CH544" s="5" t="str">
        <f>"2020"</f>
        <v>2020</v>
      </c>
      <c r="CI544" s="5" t="str">
        <f>"49,00"</f>
        <v>49,00</v>
      </c>
      <c r="CJ544" s="5" t="str">
        <f>"2020"</f>
        <v>2020</v>
      </c>
    </row>
    <row r="545" spans="1:88" ht="11.25" customHeight="1">
      <c r="A545" s="3" t="str">
        <f>"1.532"</f>
        <v>1.532</v>
      </c>
      <c r="B545" s="4" t="str">
        <f>"пгт. Вохтога, ул. Молодежная, д.6"</f>
        <v>пгт. Вохтога, ул. Молодежная, д.6</v>
      </c>
      <c r="C545" s="7" t="str">
        <f>"1987"</f>
        <v>1987</v>
      </c>
      <c r="D545" s="5" t="str">
        <f>""</f>
        <v/>
      </c>
      <c r="E545" s="5" t="str">
        <f>"12,00"</f>
        <v>12,00</v>
      </c>
      <c r="F545" s="5" t="str">
        <f>"2030"</f>
        <v>2030</v>
      </c>
      <c r="G545" s="5" t="str">
        <f t="shared" si="789"/>
        <v>нет</v>
      </c>
      <c r="H545" s="5" t="str">
        <f>""</f>
        <v/>
      </c>
      <c r="I545" s="5" t="str">
        <f>""</f>
        <v/>
      </c>
      <c r="J545" s="5" t="str">
        <f>""</f>
        <v/>
      </c>
      <c r="K545" s="5" t="str">
        <f t="shared" si="790"/>
        <v>нет</v>
      </c>
      <c r="L545" s="5" t="str">
        <f>""</f>
        <v/>
      </c>
      <c r="M545" s="5" t="str">
        <f>""</f>
        <v/>
      </c>
      <c r="N545" s="5" t="str">
        <f>""</f>
        <v/>
      </c>
      <c r="O545" s="8" t="str">
        <f>""</f>
        <v/>
      </c>
      <c r="P545" s="5" t="str">
        <f>"29,00"</f>
        <v>29,00</v>
      </c>
      <c r="Q545" s="5" t="str">
        <f>"2023"</f>
        <v>2023</v>
      </c>
      <c r="R545" s="5" t="str">
        <f t="shared" si="786"/>
        <v>нет</v>
      </c>
      <c r="S545" s="5" t="str">
        <f>""</f>
        <v/>
      </c>
      <c r="T545" s="5" t="str">
        <f>""</f>
        <v/>
      </c>
      <c r="U545" s="5" t="str">
        <f>""</f>
        <v/>
      </c>
      <c r="V545" s="5" t="str">
        <f t="shared" si="787"/>
        <v>нет</v>
      </c>
      <c r="W545" s="5" t="str">
        <f>""</f>
        <v/>
      </c>
      <c r="X545" s="5" t="str">
        <f>""</f>
        <v/>
      </c>
      <c r="Y545" s="9" t="str">
        <f>""</f>
        <v/>
      </c>
      <c r="Z545" s="5" t="str">
        <f>""</f>
        <v/>
      </c>
      <c r="AA545" s="5" t="str">
        <f>""</f>
        <v/>
      </c>
      <c r="AB545" s="5" t="str">
        <f>""</f>
        <v/>
      </c>
      <c r="AC545" s="5" t="str">
        <f>""</f>
        <v/>
      </c>
      <c r="AD545" s="5" t="str">
        <f>""</f>
        <v/>
      </c>
      <c r="AE545" s="5" t="str">
        <f>""</f>
        <v/>
      </c>
      <c r="AF545" s="5" t="str">
        <f>""</f>
        <v/>
      </c>
      <c r="AG545" s="5" t="str">
        <f>""</f>
        <v/>
      </c>
      <c r="AH545" s="5" t="str">
        <f>""</f>
        <v/>
      </c>
      <c r="AI545" s="5" t="str">
        <f>""</f>
        <v/>
      </c>
      <c r="AJ545" s="5" t="str">
        <f>""</f>
        <v/>
      </c>
      <c r="AK545" s="8" t="str">
        <f>""</f>
        <v/>
      </c>
      <c r="AL545" s="5" t="str">
        <f>"22,00"</f>
        <v>22,00</v>
      </c>
      <c r="AM545" s="5" t="str">
        <f>"2030"</f>
        <v>2030</v>
      </c>
      <c r="AN545" s="5" t="str">
        <f t="shared" si="788"/>
        <v>нет</v>
      </c>
      <c r="AO545" s="5" t="str">
        <f>""</f>
        <v/>
      </c>
      <c r="AP545" s="5" t="str">
        <f>""</f>
        <v/>
      </c>
      <c r="AQ545" s="5" t="str">
        <f>""</f>
        <v/>
      </c>
      <c r="AR545" s="5" t="str">
        <f t="shared" si="785"/>
        <v>нет</v>
      </c>
      <c r="AS545" s="5" t="str">
        <f>""</f>
        <v/>
      </c>
      <c r="AT545" s="5" t="str">
        <f>""</f>
        <v/>
      </c>
      <c r="AU545" s="5" t="str">
        <f>""</f>
        <v/>
      </c>
      <c r="AV545" s="5" t="str">
        <f t="shared" si="791"/>
        <v>х</v>
      </c>
      <c r="AW545" s="5" t="str">
        <f t="shared" si="791"/>
        <v>х</v>
      </c>
      <c r="AX545" s="5" t="str">
        <f t="shared" si="791"/>
        <v>х</v>
      </c>
      <c r="AY545" s="5" t="str">
        <f t="shared" si="791"/>
        <v>х</v>
      </c>
      <c r="AZ545" s="5" t="str">
        <f t="shared" si="791"/>
        <v>х</v>
      </c>
      <c r="BA545" s="5" t="str">
        <f t="shared" si="791"/>
        <v>х</v>
      </c>
      <c r="BB545" s="5" t="str">
        <f t="shared" si="791"/>
        <v>х</v>
      </c>
      <c r="BC545" s="5" t="str">
        <f t="shared" si="791"/>
        <v>х</v>
      </c>
      <c r="BD545" s="5" t="str">
        <f t="shared" si="791"/>
        <v>х</v>
      </c>
      <c r="BE545" s="5" t="str">
        <f t="shared" si="791"/>
        <v>х</v>
      </c>
      <c r="BF545" s="5" t="str">
        <f t="shared" si="791"/>
        <v>х</v>
      </c>
      <c r="BG545" s="5" t="str">
        <f>""</f>
        <v/>
      </c>
      <c r="BH545" s="5" t="str">
        <f>"15,00"</f>
        <v>15,00</v>
      </c>
      <c r="BI545" s="5" t="str">
        <f>"2030"</f>
        <v>2030</v>
      </c>
      <c r="BJ545" s="5" t="str">
        <f t="shared" si="783"/>
        <v>нет</v>
      </c>
      <c r="BK545" s="5" t="str">
        <f>""</f>
        <v/>
      </c>
      <c r="BL545" s="5" t="str">
        <f>""</f>
        <v/>
      </c>
      <c r="BM545" s="5" t="str">
        <f>""</f>
        <v/>
      </c>
      <c r="BN545" s="5" t="str">
        <f t="shared" si="784"/>
        <v>нет</v>
      </c>
      <c r="BO545" s="5" t="str">
        <f>""</f>
        <v/>
      </c>
      <c r="BP545" s="5" t="str">
        <f>""</f>
        <v/>
      </c>
      <c r="BQ545" s="5" t="str">
        <f>""</f>
        <v/>
      </c>
      <c r="BR545" s="5" t="str">
        <f>""</f>
        <v/>
      </c>
      <c r="BS545" s="5" t="str">
        <f>"36,00"</f>
        <v>36,00</v>
      </c>
      <c r="BT545" s="5" t="str">
        <f>"2025"</f>
        <v>2025</v>
      </c>
      <c r="BU545" s="5" t="str">
        <f t="shared" si="752"/>
        <v>нет</v>
      </c>
      <c r="BV545" s="5" t="str">
        <f t="shared" si="794"/>
        <v>x</v>
      </c>
      <c r="BW545" s="5" t="str">
        <f t="shared" si="794"/>
        <v>x</v>
      </c>
      <c r="BX545" s="5" t="str">
        <f t="shared" si="794"/>
        <v>x</v>
      </c>
      <c r="BY545" s="5" t="str">
        <f t="shared" si="792"/>
        <v>нет</v>
      </c>
      <c r="BZ545" s="5" t="str">
        <f t="shared" si="793"/>
        <v>x</v>
      </c>
      <c r="CA545" s="5" t="str">
        <f t="shared" si="793"/>
        <v>x</v>
      </c>
      <c r="CB545" s="5" t="str">
        <f t="shared" si="793"/>
        <v>x</v>
      </c>
      <c r="CC545" s="5" t="str">
        <f>""</f>
        <v/>
      </c>
      <c r="CD545" s="5" t="str">
        <f>"45,00"</f>
        <v>45,00</v>
      </c>
      <c r="CE545" s="5" t="str">
        <f>"2023"</f>
        <v>2023</v>
      </c>
      <c r="CF545" s="5" t="str">
        <f>""</f>
        <v/>
      </c>
      <c r="CG545" s="5" t="str">
        <f>"45,00"</f>
        <v>45,00</v>
      </c>
      <c r="CH545" s="5" t="str">
        <f>"2023"</f>
        <v>2023</v>
      </c>
      <c r="CI545" s="5" t="str">
        <f>"39,00"</f>
        <v>39,00</v>
      </c>
      <c r="CJ545" s="5" t="str">
        <f>"2023"</f>
        <v>2023</v>
      </c>
    </row>
    <row r="546" spans="1:88" ht="11.25" customHeight="1">
      <c r="A546" s="3" t="str">
        <f>"1.533"</f>
        <v>1.533</v>
      </c>
      <c r="B546" s="4" t="str">
        <f>"пгт. Вохтога, ул. Молодежная, д.9"</f>
        <v>пгт. Вохтога, ул. Молодежная, д.9</v>
      </c>
      <c r="C546" s="7" t="str">
        <f>"1971"</f>
        <v>1971</v>
      </c>
      <c r="D546" s="5" t="str">
        <f>""</f>
        <v/>
      </c>
      <c r="E546" s="5" t="str">
        <f>"15,00"</f>
        <v>15,00</v>
      </c>
      <c r="F546" s="5" t="str">
        <f>"2027"</f>
        <v>2027</v>
      </c>
      <c r="G546" s="5" t="str">
        <f t="shared" si="789"/>
        <v>нет</v>
      </c>
      <c r="H546" s="5" t="str">
        <f>""</f>
        <v/>
      </c>
      <c r="I546" s="5" t="str">
        <f>""</f>
        <v/>
      </c>
      <c r="J546" s="5" t="str">
        <f>""</f>
        <v/>
      </c>
      <c r="K546" s="5" t="str">
        <f t="shared" si="790"/>
        <v>нет</v>
      </c>
      <c r="L546" s="5" t="str">
        <f>""</f>
        <v/>
      </c>
      <c r="M546" s="5" t="str">
        <f>""</f>
        <v/>
      </c>
      <c r="N546" s="5" t="str">
        <f>""</f>
        <v/>
      </c>
      <c r="O546" s="8" t="str">
        <f>""</f>
        <v/>
      </c>
      <c r="P546" s="5" t="str">
        <f>"54,00"</f>
        <v>54,00</v>
      </c>
      <c r="Q546" s="5" t="str">
        <f>"2023"</f>
        <v>2023</v>
      </c>
      <c r="R546" s="5" t="str">
        <f t="shared" si="786"/>
        <v>нет</v>
      </c>
      <c r="S546" s="5" t="str">
        <f>""</f>
        <v/>
      </c>
      <c r="T546" s="5" t="str">
        <f>""</f>
        <v/>
      </c>
      <c r="U546" s="5" t="str">
        <f>""</f>
        <v/>
      </c>
      <c r="V546" s="5" t="str">
        <f t="shared" si="787"/>
        <v>нет</v>
      </c>
      <c r="W546" s="5" t="str">
        <f>""</f>
        <v/>
      </c>
      <c r="X546" s="5" t="str">
        <f>""</f>
        <v/>
      </c>
      <c r="Y546" s="9" t="str">
        <f>""</f>
        <v/>
      </c>
      <c r="Z546" s="5" t="str">
        <f>""</f>
        <v/>
      </c>
      <c r="AA546" s="5" t="str">
        <f>""</f>
        <v/>
      </c>
      <c r="AB546" s="5" t="str">
        <f>""</f>
        <v/>
      </c>
      <c r="AC546" s="5" t="str">
        <f>""</f>
        <v/>
      </c>
      <c r="AD546" s="5" t="str">
        <f>""</f>
        <v/>
      </c>
      <c r="AE546" s="5" t="str">
        <f>""</f>
        <v/>
      </c>
      <c r="AF546" s="5" t="str">
        <f>""</f>
        <v/>
      </c>
      <c r="AG546" s="5" t="str">
        <f>""</f>
        <v/>
      </c>
      <c r="AH546" s="5" t="str">
        <f>""</f>
        <v/>
      </c>
      <c r="AI546" s="5" t="str">
        <f>""</f>
        <v/>
      </c>
      <c r="AJ546" s="5" t="str">
        <f>""</f>
        <v/>
      </c>
      <c r="AK546" s="8" t="str">
        <f>""</f>
        <v/>
      </c>
      <c r="AL546" s="5" t="str">
        <f>"15,00"</f>
        <v>15,00</v>
      </c>
      <c r="AM546" s="5" t="str">
        <f>"2027"</f>
        <v>2027</v>
      </c>
      <c r="AN546" s="5" t="str">
        <f t="shared" si="788"/>
        <v>нет</v>
      </c>
      <c r="AO546" s="5" t="str">
        <f>""</f>
        <v/>
      </c>
      <c r="AP546" s="5" t="str">
        <f>""</f>
        <v/>
      </c>
      <c r="AQ546" s="5" t="str">
        <f>""</f>
        <v/>
      </c>
      <c r="AR546" s="5" t="str">
        <f t="shared" si="785"/>
        <v>нет</v>
      </c>
      <c r="AS546" s="5" t="str">
        <f>""</f>
        <v/>
      </c>
      <c r="AT546" s="5" t="str">
        <f>""</f>
        <v/>
      </c>
      <c r="AU546" s="5" t="str">
        <f>""</f>
        <v/>
      </c>
      <c r="AV546" s="5" t="str">
        <f t="shared" si="791"/>
        <v>х</v>
      </c>
      <c r="AW546" s="5" t="str">
        <f t="shared" si="791"/>
        <v>х</v>
      </c>
      <c r="AX546" s="5" t="str">
        <f t="shared" si="791"/>
        <v>х</v>
      </c>
      <c r="AY546" s="5" t="str">
        <f t="shared" si="791"/>
        <v>х</v>
      </c>
      <c r="AZ546" s="5" t="str">
        <f t="shared" si="791"/>
        <v>х</v>
      </c>
      <c r="BA546" s="5" t="str">
        <f t="shared" si="791"/>
        <v>х</v>
      </c>
      <c r="BB546" s="5" t="str">
        <f t="shared" si="791"/>
        <v>х</v>
      </c>
      <c r="BC546" s="5" t="str">
        <f t="shared" si="791"/>
        <v>х</v>
      </c>
      <c r="BD546" s="5" t="str">
        <f t="shared" si="791"/>
        <v>х</v>
      </c>
      <c r="BE546" s="5" t="str">
        <f t="shared" si="791"/>
        <v>х</v>
      </c>
      <c r="BF546" s="5" t="str">
        <f t="shared" si="791"/>
        <v>х</v>
      </c>
      <c r="BG546" s="5" t="str">
        <f>""</f>
        <v/>
      </c>
      <c r="BH546" s="5" t="str">
        <f>"10,00"</f>
        <v>10,00</v>
      </c>
      <c r="BI546" s="5" t="str">
        <f>"2027"</f>
        <v>2027</v>
      </c>
      <c r="BJ546" s="5" t="str">
        <f t="shared" si="783"/>
        <v>нет</v>
      </c>
      <c r="BK546" s="5" t="str">
        <f>""</f>
        <v/>
      </c>
      <c r="BL546" s="5" t="str">
        <f>""</f>
        <v/>
      </c>
      <c r="BM546" s="5" t="str">
        <f>""</f>
        <v/>
      </c>
      <c r="BN546" s="5" t="str">
        <f t="shared" si="784"/>
        <v>нет</v>
      </c>
      <c r="BO546" s="5" t="str">
        <f>""</f>
        <v/>
      </c>
      <c r="BP546" s="5" t="str">
        <f>""</f>
        <v/>
      </c>
      <c r="BQ546" s="5" t="str">
        <f>""</f>
        <v/>
      </c>
      <c r="BR546" s="5" t="str">
        <f>""</f>
        <v/>
      </c>
      <c r="BS546" s="5" t="str">
        <f>"50,00"</f>
        <v>50,00</v>
      </c>
      <c r="BT546" s="5" t="str">
        <f>"2022"</f>
        <v>2022</v>
      </c>
      <c r="BU546" s="5" t="str">
        <f t="shared" si="752"/>
        <v>нет</v>
      </c>
      <c r="BV546" s="5" t="str">
        <f t="shared" si="794"/>
        <v>x</v>
      </c>
      <c r="BW546" s="5" t="str">
        <f t="shared" si="794"/>
        <v>x</v>
      </c>
      <c r="BX546" s="5" t="str">
        <f t="shared" si="794"/>
        <v>x</v>
      </c>
      <c r="BY546" s="5" t="str">
        <f t="shared" si="792"/>
        <v>нет</v>
      </c>
      <c r="BZ546" s="5" t="str">
        <f t="shared" si="793"/>
        <v>x</v>
      </c>
      <c r="CA546" s="5" t="str">
        <f t="shared" si="793"/>
        <v>x</v>
      </c>
      <c r="CB546" s="5" t="str">
        <f t="shared" si="793"/>
        <v>x</v>
      </c>
      <c r="CC546" s="5" t="str">
        <f>""</f>
        <v/>
      </c>
      <c r="CD546" s="5" t="str">
        <f>"62,00"</f>
        <v>62,00</v>
      </c>
      <c r="CE546" s="5" t="str">
        <f>"2020"</f>
        <v>2020</v>
      </c>
      <c r="CF546" s="5" t="str">
        <f>""</f>
        <v/>
      </c>
      <c r="CG546" s="5" t="str">
        <f>"62,00"</f>
        <v>62,00</v>
      </c>
      <c r="CH546" s="5" t="str">
        <f>"2020"</f>
        <v>2020</v>
      </c>
      <c r="CI546" s="5" t="str">
        <f>"60,00"</f>
        <v>60,00</v>
      </c>
      <c r="CJ546" s="5" t="str">
        <f>"2020"</f>
        <v>2020</v>
      </c>
    </row>
    <row r="547" spans="1:88" ht="11.25" customHeight="1">
      <c r="A547" s="3" t="str">
        <f>"1.534"</f>
        <v>1.534</v>
      </c>
      <c r="B547" s="4" t="str">
        <f>"пгт. Вохтога, ул. Новая, д.12"</f>
        <v>пгт. Вохтога, ул. Новая, д.12</v>
      </c>
      <c r="C547" s="7" t="str">
        <f>"1978"</f>
        <v>1978</v>
      </c>
      <c r="D547" s="5" t="str">
        <f>""</f>
        <v/>
      </c>
      <c r="E547" s="5" t="str">
        <f>"30,00"</f>
        <v>30,00</v>
      </c>
      <c r="F547" s="5" t="str">
        <f>"2025"</f>
        <v>2025</v>
      </c>
      <c r="G547" s="5" t="str">
        <f t="shared" si="789"/>
        <v>нет</v>
      </c>
      <c r="H547" s="5" t="str">
        <f>""</f>
        <v/>
      </c>
      <c r="I547" s="5" t="str">
        <f>""</f>
        <v/>
      </c>
      <c r="J547" s="5" t="str">
        <f>""</f>
        <v/>
      </c>
      <c r="K547" s="5" t="str">
        <f t="shared" si="790"/>
        <v>нет</v>
      </c>
      <c r="L547" s="5" t="str">
        <f>""</f>
        <v/>
      </c>
      <c r="M547" s="5" t="str">
        <f>""</f>
        <v/>
      </c>
      <c r="N547" s="5" t="str">
        <f>""</f>
        <v/>
      </c>
      <c r="O547" s="8" t="str">
        <f>""</f>
        <v/>
      </c>
      <c r="P547" s="5" t="str">
        <f>""</f>
        <v/>
      </c>
      <c r="Q547" s="5" t="str">
        <f>""</f>
        <v/>
      </c>
      <c r="R547" s="5" t="str">
        <f>""</f>
        <v/>
      </c>
      <c r="S547" s="5" t="str">
        <f>""</f>
        <v/>
      </c>
      <c r="T547" s="5" t="str">
        <f>""</f>
        <v/>
      </c>
      <c r="U547" s="5" t="str">
        <f>""</f>
        <v/>
      </c>
      <c r="V547" s="5" t="str">
        <f>""</f>
        <v/>
      </c>
      <c r="W547" s="5" t="str">
        <f>""</f>
        <v/>
      </c>
      <c r="X547" s="5" t="str">
        <f>""</f>
        <v/>
      </c>
      <c r="Y547" s="9" t="str">
        <f>""</f>
        <v/>
      </c>
      <c r="Z547" s="5" t="str">
        <f>""</f>
        <v/>
      </c>
      <c r="AA547" s="5" t="str">
        <f>""</f>
        <v/>
      </c>
      <c r="AB547" s="5" t="str">
        <f>""</f>
        <v/>
      </c>
      <c r="AC547" s="5" t="str">
        <f>""</f>
        <v/>
      </c>
      <c r="AD547" s="5" t="str">
        <f>""</f>
        <v/>
      </c>
      <c r="AE547" s="5" t="str">
        <f>""</f>
        <v/>
      </c>
      <c r="AF547" s="5" t="str">
        <f>""</f>
        <v/>
      </c>
      <c r="AG547" s="5" t="str">
        <f>""</f>
        <v/>
      </c>
      <c r="AH547" s="5" t="str">
        <f>""</f>
        <v/>
      </c>
      <c r="AI547" s="5" t="str">
        <f>""</f>
        <v/>
      </c>
      <c r="AJ547" s="5" t="str">
        <f>""</f>
        <v/>
      </c>
      <c r="AK547" s="8" t="str">
        <f>""</f>
        <v/>
      </c>
      <c r="AL547" s="5" t="str">
        <f>"30,00"</f>
        <v>30,00</v>
      </c>
      <c r="AM547" s="5" t="str">
        <f>"2025"</f>
        <v>2025</v>
      </c>
      <c r="AN547" s="5" t="str">
        <f t="shared" si="788"/>
        <v>нет</v>
      </c>
      <c r="AO547" s="5" t="str">
        <f>""</f>
        <v/>
      </c>
      <c r="AP547" s="5" t="str">
        <f>""</f>
        <v/>
      </c>
      <c r="AQ547" s="5" t="str">
        <f>""</f>
        <v/>
      </c>
      <c r="AR547" s="5" t="str">
        <f t="shared" si="785"/>
        <v>нет</v>
      </c>
      <c r="AS547" s="5" t="str">
        <f>""</f>
        <v/>
      </c>
      <c r="AT547" s="5" t="str">
        <f>""</f>
        <v/>
      </c>
      <c r="AU547" s="5" t="str">
        <f>""</f>
        <v/>
      </c>
      <c r="AV547" s="5" t="str">
        <f t="shared" si="791"/>
        <v>х</v>
      </c>
      <c r="AW547" s="5" t="str">
        <f t="shared" si="791"/>
        <v>х</v>
      </c>
      <c r="AX547" s="5" t="str">
        <f t="shared" si="791"/>
        <v>х</v>
      </c>
      <c r="AY547" s="5" t="str">
        <f t="shared" si="791"/>
        <v>х</v>
      </c>
      <c r="AZ547" s="5" t="str">
        <f t="shared" si="791"/>
        <v>х</v>
      </c>
      <c r="BA547" s="5" t="str">
        <f t="shared" si="791"/>
        <v>х</v>
      </c>
      <c r="BB547" s="5" t="str">
        <f t="shared" si="791"/>
        <v>х</v>
      </c>
      <c r="BC547" s="5" t="str">
        <f t="shared" si="791"/>
        <v>х</v>
      </c>
      <c r="BD547" s="5" t="str">
        <f t="shared" si="791"/>
        <v>х</v>
      </c>
      <c r="BE547" s="5" t="str">
        <f t="shared" si="791"/>
        <v>х</v>
      </c>
      <c r="BF547" s="5" t="str">
        <f t="shared" si="791"/>
        <v>х</v>
      </c>
      <c r="BG547" s="5" t="str">
        <f>""</f>
        <v/>
      </c>
      <c r="BH547" s="5" t="str">
        <f>""</f>
        <v/>
      </c>
      <c r="BI547" s="5" t="str">
        <f>""</f>
        <v/>
      </c>
      <c r="BJ547" s="5" t="str">
        <f>""</f>
        <v/>
      </c>
      <c r="BK547" s="5" t="str">
        <f>""</f>
        <v/>
      </c>
      <c r="BL547" s="5" t="str">
        <f>""</f>
        <v/>
      </c>
      <c r="BM547" s="5" t="str">
        <f>""</f>
        <v/>
      </c>
      <c r="BN547" s="5" t="str">
        <f>""</f>
        <v/>
      </c>
      <c r="BO547" s="5" t="str">
        <f>""</f>
        <v/>
      </c>
      <c r="BP547" s="5" t="str">
        <f>""</f>
        <v/>
      </c>
      <c r="BQ547" s="5" t="str">
        <f>""</f>
        <v/>
      </c>
      <c r="BR547" s="5" t="str">
        <f>"2009"</f>
        <v>2009</v>
      </c>
      <c r="BS547" s="5" t="str">
        <f>"30,00"</f>
        <v>30,00</v>
      </c>
      <c r="BT547" s="5" t="str">
        <f>"2025"</f>
        <v>2025</v>
      </c>
      <c r="BU547" s="5" t="str">
        <f t="shared" si="752"/>
        <v>нет</v>
      </c>
      <c r="BV547" s="5" t="str">
        <f t="shared" si="794"/>
        <v>x</v>
      </c>
      <c r="BW547" s="5" t="str">
        <f t="shared" si="794"/>
        <v>x</v>
      </c>
      <c r="BX547" s="5" t="str">
        <f t="shared" si="794"/>
        <v>x</v>
      </c>
      <c r="BY547" s="5" t="str">
        <f t="shared" si="792"/>
        <v>нет</v>
      </c>
      <c r="BZ547" s="5" t="str">
        <f t="shared" si="793"/>
        <v>x</v>
      </c>
      <c r="CA547" s="5" t="str">
        <f t="shared" si="793"/>
        <v>x</v>
      </c>
      <c r="CB547" s="5" t="str">
        <f t="shared" si="793"/>
        <v>x</v>
      </c>
      <c r="CC547" s="5" t="str">
        <f>""</f>
        <v/>
      </c>
      <c r="CD547" s="5" t="str">
        <f>"30,00"</f>
        <v>30,00</v>
      </c>
      <c r="CE547" s="5" t="str">
        <f>"2025"</f>
        <v>2025</v>
      </c>
      <c r="CF547" s="5" t="str">
        <f>""</f>
        <v/>
      </c>
      <c r="CG547" s="5" t="str">
        <f>"30,00"</f>
        <v>30,00</v>
      </c>
      <c r="CH547" s="5" t="str">
        <f>"2025"</f>
        <v>2025</v>
      </c>
      <c r="CI547" s="5" t="str">
        <f>"30,00"</f>
        <v>30,00</v>
      </c>
      <c r="CJ547" s="5" t="str">
        <f>"2025"</f>
        <v>2025</v>
      </c>
    </row>
    <row r="548" spans="1:88" ht="11.25" customHeight="1">
      <c r="A548" s="3" t="str">
        <f>"1.535"</f>
        <v>1.535</v>
      </c>
      <c r="B548" s="4" t="str">
        <f>"пгт. Вохтога, ул. Новая, д.3"</f>
        <v>пгт. Вохтога, ул. Новая, д.3</v>
      </c>
      <c r="C548" s="7" t="str">
        <f>"1979"</f>
        <v>1979</v>
      </c>
      <c r="D548" s="5" t="str">
        <f>""</f>
        <v/>
      </c>
      <c r="E548" s="5" t="str">
        <f>"24,00"</f>
        <v>24,00</v>
      </c>
      <c r="F548" s="5" t="str">
        <f>"2026"</f>
        <v>2026</v>
      </c>
      <c r="G548" s="5" t="str">
        <f t="shared" si="789"/>
        <v>нет</v>
      </c>
      <c r="H548" s="5" t="str">
        <f>""</f>
        <v/>
      </c>
      <c r="I548" s="5" t="str">
        <f>""</f>
        <v/>
      </c>
      <c r="J548" s="5" t="str">
        <f>""</f>
        <v/>
      </c>
      <c r="K548" s="5" t="str">
        <f t="shared" si="790"/>
        <v>нет</v>
      </c>
      <c r="L548" s="5" t="str">
        <f>""</f>
        <v/>
      </c>
      <c r="M548" s="5" t="str">
        <f>""</f>
        <v/>
      </c>
      <c r="N548" s="5" t="str">
        <f>""</f>
        <v/>
      </c>
      <c r="O548" s="8" t="str">
        <f>""</f>
        <v/>
      </c>
      <c r="P548" s="5" t="str">
        <f>""</f>
        <v/>
      </c>
      <c r="Q548" s="5" t="str">
        <f>""</f>
        <v/>
      </c>
      <c r="R548" s="5" t="str">
        <f>""</f>
        <v/>
      </c>
      <c r="S548" s="5" t="str">
        <f>""</f>
        <v/>
      </c>
      <c r="T548" s="5" t="str">
        <f>""</f>
        <v/>
      </c>
      <c r="U548" s="5" t="str">
        <f>""</f>
        <v/>
      </c>
      <c r="V548" s="5" t="str">
        <f>""</f>
        <v/>
      </c>
      <c r="W548" s="5" t="str">
        <f>""</f>
        <v/>
      </c>
      <c r="X548" s="5" t="str">
        <f>""</f>
        <v/>
      </c>
      <c r="Y548" s="9" t="str">
        <f>""</f>
        <v/>
      </c>
      <c r="Z548" s="5" t="str">
        <f>""</f>
        <v/>
      </c>
      <c r="AA548" s="5" t="str">
        <f>""</f>
        <v/>
      </c>
      <c r="AB548" s="5" t="str">
        <f>""</f>
        <v/>
      </c>
      <c r="AC548" s="5" t="str">
        <f>""</f>
        <v/>
      </c>
      <c r="AD548" s="5" t="str">
        <f>""</f>
        <v/>
      </c>
      <c r="AE548" s="5" t="str">
        <f>""</f>
        <v/>
      </c>
      <c r="AF548" s="5" t="str">
        <f>""</f>
        <v/>
      </c>
      <c r="AG548" s="5" t="str">
        <f>""</f>
        <v/>
      </c>
      <c r="AH548" s="5" t="str">
        <f>""</f>
        <v/>
      </c>
      <c r="AI548" s="5" t="str">
        <f>""</f>
        <v/>
      </c>
      <c r="AJ548" s="5" t="str">
        <f>""</f>
        <v/>
      </c>
      <c r="AK548" s="8" t="str">
        <f>""</f>
        <v/>
      </c>
      <c r="AL548" s="5" t="str">
        <f>"24,00"</f>
        <v>24,00</v>
      </c>
      <c r="AM548" s="5" t="str">
        <f>"2026"</f>
        <v>2026</v>
      </c>
      <c r="AN548" s="5" t="str">
        <f t="shared" si="788"/>
        <v>нет</v>
      </c>
      <c r="AO548" s="5" t="str">
        <f>""</f>
        <v/>
      </c>
      <c r="AP548" s="5" t="str">
        <f>""</f>
        <v/>
      </c>
      <c r="AQ548" s="5" t="str">
        <f>""</f>
        <v/>
      </c>
      <c r="AR548" s="5" t="str">
        <f t="shared" si="785"/>
        <v>нет</v>
      </c>
      <c r="AS548" s="5" t="str">
        <f>""</f>
        <v/>
      </c>
      <c r="AT548" s="5" t="str">
        <f>""</f>
        <v/>
      </c>
      <c r="AU548" s="5" t="str">
        <f>""</f>
        <v/>
      </c>
      <c r="AV548" s="5" t="str">
        <f t="shared" ref="AV548:BF557" si="795">"х"</f>
        <v>х</v>
      </c>
      <c r="AW548" s="5" t="str">
        <f t="shared" si="795"/>
        <v>х</v>
      </c>
      <c r="AX548" s="5" t="str">
        <f t="shared" si="795"/>
        <v>х</v>
      </c>
      <c r="AY548" s="5" t="str">
        <f t="shared" si="795"/>
        <v>х</v>
      </c>
      <c r="AZ548" s="5" t="str">
        <f t="shared" si="795"/>
        <v>х</v>
      </c>
      <c r="BA548" s="5" t="str">
        <f t="shared" si="795"/>
        <v>х</v>
      </c>
      <c r="BB548" s="5" t="str">
        <f t="shared" si="795"/>
        <v>х</v>
      </c>
      <c r="BC548" s="5" t="str">
        <f t="shared" si="795"/>
        <v>х</v>
      </c>
      <c r="BD548" s="5" t="str">
        <f t="shared" si="795"/>
        <v>х</v>
      </c>
      <c r="BE548" s="5" t="str">
        <f t="shared" si="795"/>
        <v>х</v>
      </c>
      <c r="BF548" s="5" t="str">
        <f t="shared" si="795"/>
        <v>х</v>
      </c>
      <c r="BG548" s="5" t="str">
        <f>""</f>
        <v/>
      </c>
      <c r="BH548" s="5" t="str">
        <f>""</f>
        <v/>
      </c>
      <c r="BI548" s="5" t="str">
        <f>""</f>
        <v/>
      </c>
      <c r="BJ548" s="5" t="str">
        <f>""</f>
        <v/>
      </c>
      <c r="BK548" s="5" t="str">
        <f>""</f>
        <v/>
      </c>
      <c r="BL548" s="5" t="str">
        <f>""</f>
        <v/>
      </c>
      <c r="BM548" s="5" t="str">
        <f>""</f>
        <v/>
      </c>
      <c r="BN548" s="5" t="str">
        <f>""</f>
        <v/>
      </c>
      <c r="BO548" s="5" t="str">
        <f>""</f>
        <v/>
      </c>
      <c r="BP548" s="5" t="str">
        <f>""</f>
        <v/>
      </c>
      <c r="BQ548" s="5" t="str">
        <f>""</f>
        <v/>
      </c>
      <c r="BR548" s="5" t="str">
        <f>""</f>
        <v/>
      </c>
      <c r="BS548" s="5" t="str">
        <f>"24,00"</f>
        <v>24,00</v>
      </c>
      <c r="BT548" s="5" t="str">
        <f>"2026"</f>
        <v>2026</v>
      </c>
      <c r="BU548" s="5" t="str">
        <f t="shared" si="752"/>
        <v>нет</v>
      </c>
      <c r="BV548" s="5" t="str">
        <f t="shared" si="794"/>
        <v>x</v>
      </c>
      <c r="BW548" s="5" t="str">
        <f t="shared" si="794"/>
        <v>x</v>
      </c>
      <c r="BX548" s="5" t="str">
        <f t="shared" si="794"/>
        <v>x</v>
      </c>
      <c r="BY548" s="5" t="str">
        <f t="shared" si="792"/>
        <v>нет</v>
      </c>
      <c r="BZ548" s="5" t="str">
        <f t="shared" si="793"/>
        <v>x</v>
      </c>
      <c r="CA548" s="5" t="str">
        <f t="shared" si="793"/>
        <v>x</v>
      </c>
      <c r="CB548" s="5" t="str">
        <f t="shared" si="793"/>
        <v>x</v>
      </c>
      <c r="CC548" s="5" t="str">
        <f>""</f>
        <v/>
      </c>
      <c r="CD548" s="5" t="str">
        <f>"24,00"</f>
        <v>24,00</v>
      </c>
      <c r="CE548" s="5" t="str">
        <f>"2026"</f>
        <v>2026</v>
      </c>
      <c r="CF548" s="5" t="str">
        <f>""</f>
        <v/>
      </c>
      <c r="CG548" s="5" t="str">
        <f>"24,00"</f>
        <v>24,00</v>
      </c>
      <c r="CH548" s="5" t="str">
        <f>"2026"</f>
        <v>2026</v>
      </c>
      <c r="CI548" s="5" t="str">
        <f>"24,00"</f>
        <v>24,00</v>
      </c>
      <c r="CJ548" s="5" t="str">
        <f>"2026"</f>
        <v>2026</v>
      </c>
    </row>
    <row r="549" spans="1:88" ht="11.25" customHeight="1">
      <c r="A549" s="3" t="str">
        <f>"1.536"</f>
        <v>1.536</v>
      </c>
      <c r="B549" s="4" t="str">
        <f>"пгт. Вохтога, ул. Новая, д.4"</f>
        <v>пгт. Вохтога, ул. Новая, д.4</v>
      </c>
      <c r="C549" s="7" t="str">
        <f>"1993"</f>
        <v>1993</v>
      </c>
      <c r="D549" s="5" t="str">
        <f>""</f>
        <v/>
      </c>
      <c r="E549" s="5" t="str">
        <f>"19,00"</f>
        <v>19,00</v>
      </c>
      <c r="F549" s="5" t="str">
        <f>"2022"</f>
        <v>2022</v>
      </c>
      <c r="G549" s="5" t="str">
        <f t="shared" si="789"/>
        <v>нет</v>
      </c>
      <c r="H549" s="5" t="str">
        <f>""</f>
        <v/>
      </c>
      <c r="I549" s="5" t="str">
        <f>""</f>
        <v/>
      </c>
      <c r="J549" s="5" t="str">
        <f>""</f>
        <v/>
      </c>
      <c r="K549" s="5" t="str">
        <f t="shared" si="790"/>
        <v>нет</v>
      </c>
      <c r="L549" s="5" t="str">
        <f>""</f>
        <v/>
      </c>
      <c r="M549" s="5" t="str">
        <f>""</f>
        <v/>
      </c>
      <c r="N549" s="5" t="str">
        <f>""</f>
        <v/>
      </c>
      <c r="O549" s="8" t="str">
        <f>""</f>
        <v/>
      </c>
      <c r="P549" s="5" t="str">
        <f>""</f>
        <v/>
      </c>
      <c r="Q549" s="5" t="str">
        <f>""</f>
        <v/>
      </c>
      <c r="R549" s="5" t="str">
        <f>""</f>
        <v/>
      </c>
      <c r="S549" s="5" t="str">
        <f>""</f>
        <v/>
      </c>
      <c r="T549" s="5" t="str">
        <f>""</f>
        <v/>
      </c>
      <c r="U549" s="5" t="str">
        <f>""</f>
        <v/>
      </c>
      <c r="V549" s="5" t="str">
        <f>""</f>
        <v/>
      </c>
      <c r="W549" s="5" t="str">
        <f>""</f>
        <v/>
      </c>
      <c r="X549" s="5" t="str">
        <f>""</f>
        <v/>
      </c>
      <c r="Y549" s="9" t="str">
        <f>""</f>
        <v/>
      </c>
      <c r="Z549" s="5" t="str">
        <f>""</f>
        <v/>
      </c>
      <c r="AA549" s="5" t="str">
        <f>""</f>
        <v/>
      </c>
      <c r="AB549" s="5" t="str">
        <f>""</f>
        <v/>
      </c>
      <c r="AC549" s="5" t="str">
        <f>""</f>
        <v/>
      </c>
      <c r="AD549" s="5" t="str">
        <f>""</f>
        <v/>
      </c>
      <c r="AE549" s="5" t="str">
        <f>""</f>
        <v/>
      </c>
      <c r="AF549" s="5" t="str">
        <f>""</f>
        <v/>
      </c>
      <c r="AG549" s="5" t="str">
        <f>""</f>
        <v/>
      </c>
      <c r="AH549" s="5" t="str">
        <f>""</f>
        <v/>
      </c>
      <c r="AI549" s="5" t="str">
        <f>""</f>
        <v/>
      </c>
      <c r="AJ549" s="5" t="str">
        <f>""</f>
        <v/>
      </c>
      <c r="AK549" s="8" t="str">
        <f>""</f>
        <v/>
      </c>
      <c r="AL549" s="5" t="str">
        <f>"19,00"</f>
        <v>19,00</v>
      </c>
      <c r="AM549" s="5" t="str">
        <f>"2022"</f>
        <v>2022</v>
      </c>
      <c r="AN549" s="5" t="str">
        <f t="shared" si="788"/>
        <v>нет</v>
      </c>
      <c r="AO549" s="5" t="str">
        <f>""</f>
        <v/>
      </c>
      <c r="AP549" s="5" t="str">
        <f>""</f>
        <v/>
      </c>
      <c r="AQ549" s="5" t="str">
        <f>""</f>
        <v/>
      </c>
      <c r="AR549" s="5" t="str">
        <f t="shared" si="785"/>
        <v>нет</v>
      </c>
      <c r="AS549" s="5" t="str">
        <f>""</f>
        <v/>
      </c>
      <c r="AT549" s="5" t="str">
        <f>""</f>
        <v/>
      </c>
      <c r="AU549" s="5" t="str">
        <f>""</f>
        <v/>
      </c>
      <c r="AV549" s="5" t="str">
        <f t="shared" si="795"/>
        <v>х</v>
      </c>
      <c r="AW549" s="5" t="str">
        <f t="shared" si="795"/>
        <v>х</v>
      </c>
      <c r="AX549" s="5" t="str">
        <f t="shared" si="795"/>
        <v>х</v>
      </c>
      <c r="AY549" s="5" t="str">
        <f t="shared" si="795"/>
        <v>х</v>
      </c>
      <c r="AZ549" s="5" t="str">
        <f t="shared" si="795"/>
        <v>х</v>
      </c>
      <c r="BA549" s="5" t="str">
        <f t="shared" si="795"/>
        <v>х</v>
      </c>
      <c r="BB549" s="5" t="str">
        <f t="shared" si="795"/>
        <v>х</v>
      </c>
      <c r="BC549" s="5" t="str">
        <f t="shared" si="795"/>
        <v>х</v>
      </c>
      <c r="BD549" s="5" t="str">
        <f t="shared" si="795"/>
        <v>х</v>
      </c>
      <c r="BE549" s="5" t="str">
        <f t="shared" si="795"/>
        <v>х</v>
      </c>
      <c r="BF549" s="5" t="str">
        <f t="shared" si="795"/>
        <v>х</v>
      </c>
      <c r="BG549" s="5" t="str">
        <f>""</f>
        <v/>
      </c>
      <c r="BH549" s="5" t="str">
        <f>""</f>
        <v/>
      </c>
      <c r="BI549" s="5" t="str">
        <f>""</f>
        <v/>
      </c>
      <c r="BJ549" s="5" t="str">
        <f>""</f>
        <v/>
      </c>
      <c r="BK549" s="5" t="str">
        <f>""</f>
        <v/>
      </c>
      <c r="BL549" s="5" t="str">
        <f>""</f>
        <v/>
      </c>
      <c r="BM549" s="5" t="str">
        <f>""</f>
        <v/>
      </c>
      <c r="BN549" s="5" t="str">
        <f>""</f>
        <v/>
      </c>
      <c r="BO549" s="5" t="str">
        <f>""</f>
        <v/>
      </c>
      <c r="BP549" s="5" t="str">
        <f>""</f>
        <v/>
      </c>
      <c r="BQ549" s="5" t="str">
        <f>""</f>
        <v/>
      </c>
      <c r="BR549" s="5" t="str">
        <f>""</f>
        <v/>
      </c>
      <c r="BS549" s="5" t="str">
        <f>"19,00"</f>
        <v>19,00</v>
      </c>
      <c r="BT549" s="5" t="str">
        <f>"2022"</f>
        <v>2022</v>
      </c>
      <c r="BU549" s="5" t="str">
        <f t="shared" si="752"/>
        <v>нет</v>
      </c>
      <c r="BV549" s="5" t="str">
        <f t="shared" si="794"/>
        <v>x</v>
      </c>
      <c r="BW549" s="5" t="str">
        <f t="shared" si="794"/>
        <v>x</v>
      </c>
      <c r="BX549" s="5" t="str">
        <f t="shared" si="794"/>
        <v>x</v>
      </c>
      <c r="BY549" s="5" t="str">
        <f t="shared" si="792"/>
        <v>нет</v>
      </c>
      <c r="BZ549" s="5" t="str">
        <f t="shared" si="793"/>
        <v>x</v>
      </c>
      <c r="CA549" s="5" t="str">
        <f t="shared" si="793"/>
        <v>x</v>
      </c>
      <c r="CB549" s="5" t="str">
        <f t="shared" si="793"/>
        <v>x</v>
      </c>
      <c r="CC549" s="5" t="str">
        <f>""</f>
        <v/>
      </c>
      <c r="CD549" s="5" t="str">
        <f>"19,00"</f>
        <v>19,00</v>
      </c>
      <c r="CE549" s="5" t="str">
        <f>"2022"</f>
        <v>2022</v>
      </c>
      <c r="CF549" s="5" t="str">
        <f>""</f>
        <v/>
      </c>
      <c r="CG549" s="5" t="str">
        <f>"19,00"</f>
        <v>19,00</v>
      </c>
      <c r="CH549" s="5" t="str">
        <f>"2022"</f>
        <v>2022</v>
      </c>
      <c r="CI549" s="5" t="str">
        <f>"19,00"</f>
        <v>19,00</v>
      </c>
      <c r="CJ549" s="5" t="str">
        <f>"2022"</f>
        <v>2022</v>
      </c>
    </row>
    <row r="550" spans="1:88" ht="11.25" customHeight="1">
      <c r="A550" s="3" t="str">
        <f>"1.537"</f>
        <v>1.537</v>
      </c>
      <c r="B550" s="4" t="str">
        <f>"пгт. Вохтога, ул. Новая, д.40"</f>
        <v>пгт. Вохтога, ул. Новая, д.40</v>
      </c>
      <c r="C550" s="7" t="str">
        <f>"1971"</f>
        <v>1971</v>
      </c>
      <c r="D550" s="5" t="str">
        <f>""</f>
        <v/>
      </c>
      <c r="E550" s="5" t="str">
        <f>"12,00"</f>
        <v>12,00</v>
      </c>
      <c r="F550" s="5" t="str">
        <f>"2036"</f>
        <v>2036</v>
      </c>
      <c r="G550" s="5" t="str">
        <f t="shared" si="789"/>
        <v>нет</v>
      </c>
      <c r="H550" s="5" t="str">
        <f>""</f>
        <v/>
      </c>
      <c r="I550" s="5" t="str">
        <f>""</f>
        <v/>
      </c>
      <c r="J550" s="5" t="str">
        <f>""</f>
        <v/>
      </c>
      <c r="K550" s="5" t="str">
        <f t="shared" si="790"/>
        <v>нет</v>
      </c>
      <c r="L550" s="5" t="str">
        <f>""</f>
        <v/>
      </c>
      <c r="M550" s="5" t="str">
        <f>""</f>
        <v/>
      </c>
      <c r="N550" s="5" t="str">
        <f>""</f>
        <v/>
      </c>
      <c r="O550" s="8" t="str">
        <f>""</f>
        <v/>
      </c>
      <c r="P550" s="5" t="str">
        <f>""</f>
        <v/>
      </c>
      <c r="Q550" s="5" t="str">
        <f>""</f>
        <v/>
      </c>
      <c r="R550" s="5" t="str">
        <f>""</f>
        <v/>
      </c>
      <c r="S550" s="5" t="str">
        <f>""</f>
        <v/>
      </c>
      <c r="T550" s="5" t="str">
        <f>""</f>
        <v/>
      </c>
      <c r="U550" s="5" t="str">
        <f>""</f>
        <v/>
      </c>
      <c r="V550" s="5" t="str">
        <f>""</f>
        <v/>
      </c>
      <c r="W550" s="5" t="str">
        <f>""</f>
        <v/>
      </c>
      <c r="X550" s="5" t="str">
        <f>""</f>
        <v/>
      </c>
      <c r="Y550" s="9" t="str">
        <f>""</f>
        <v/>
      </c>
      <c r="Z550" s="5" t="str">
        <f>""</f>
        <v/>
      </c>
      <c r="AA550" s="5" t="str">
        <f>""</f>
        <v/>
      </c>
      <c r="AB550" s="5" t="str">
        <f>""</f>
        <v/>
      </c>
      <c r="AC550" s="5" t="str">
        <f>""</f>
        <v/>
      </c>
      <c r="AD550" s="5" t="str">
        <f>""</f>
        <v/>
      </c>
      <c r="AE550" s="5" t="str">
        <f>""</f>
        <v/>
      </c>
      <c r="AF550" s="5" t="str">
        <f>""</f>
        <v/>
      </c>
      <c r="AG550" s="5" t="str">
        <f>""</f>
        <v/>
      </c>
      <c r="AH550" s="5" t="str">
        <f>""</f>
        <v/>
      </c>
      <c r="AI550" s="5" t="str">
        <f>""</f>
        <v/>
      </c>
      <c r="AJ550" s="5" t="str">
        <f>""</f>
        <v/>
      </c>
      <c r="AK550" s="8" t="str">
        <f>""</f>
        <v/>
      </c>
      <c r="AL550" s="5" t="str">
        <f>"10,00"</f>
        <v>10,00</v>
      </c>
      <c r="AM550" s="5" t="str">
        <f>"2036"</f>
        <v>2036</v>
      </c>
      <c r="AN550" s="5" t="str">
        <f t="shared" si="788"/>
        <v>нет</v>
      </c>
      <c r="AO550" s="5" t="str">
        <f>""</f>
        <v/>
      </c>
      <c r="AP550" s="5" t="str">
        <f>""</f>
        <v/>
      </c>
      <c r="AQ550" s="5" t="str">
        <f>""</f>
        <v/>
      </c>
      <c r="AR550" s="5" t="str">
        <f t="shared" si="785"/>
        <v>нет</v>
      </c>
      <c r="AS550" s="5" t="str">
        <f>""</f>
        <v/>
      </c>
      <c r="AT550" s="5" t="str">
        <f>""</f>
        <v/>
      </c>
      <c r="AU550" s="5" t="str">
        <f>""</f>
        <v/>
      </c>
      <c r="AV550" s="5" t="str">
        <f t="shared" si="795"/>
        <v>х</v>
      </c>
      <c r="AW550" s="5" t="str">
        <f t="shared" si="795"/>
        <v>х</v>
      </c>
      <c r="AX550" s="5" t="str">
        <f t="shared" si="795"/>
        <v>х</v>
      </c>
      <c r="AY550" s="5" t="str">
        <f t="shared" si="795"/>
        <v>х</v>
      </c>
      <c r="AZ550" s="5" t="str">
        <f t="shared" si="795"/>
        <v>х</v>
      </c>
      <c r="BA550" s="5" t="str">
        <f t="shared" si="795"/>
        <v>х</v>
      </c>
      <c r="BB550" s="5" t="str">
        <f t="shared" si="795"/>
        <v>х</v>
      </c>
      <c r="BC550" s="5" t="str">
        <f t="shared" si="795"/>
        <v>х</v>
      </c>
      <c r="BD550" s="5" t="str">
        <f t="shared" si="795"/>
        <v>х</v>
      </c>
      <c r="BE550" s="5" t="str">
        <f t="shared" si="795"/>
        <v>х</v>
      </c>
      <c r="BF550" s="5" t="str">
        <f t="shared" si="795"/>
        <v>х</v>
      </c>
      <c r="BG550" s="5" t="str">
        <f>""</f>
        <v/>
      </c>
      <c r="BH550" s="5" t="str">
        <f>""</f>
        <v/>
      </c>
      <c r="BI550" s="5" t="str">
        <f>""</f>
        <v/>
      </c>
      <c r="BJ550" s="5" t="str">
        <f>""</f>
        <v/>
      </c>
      <c r="BK550" s="5" t="str">
        <f>""</f>
        <v/>
      </c>
      <c r="BL550" s="5" t="str">
        <f>""</f>
        <v/>
      </c>
      <c r="BM550" s="5" t="str">
        <f>""</f>
        <v/>
      </c>
      <c r="BN550" s="5" t="str">
        <f>""</f>
        <v/>
      </c>
      <c r="BO550" s="5" t="str">
        <f>""</f>
        <v/>
      </c>
      <c r="BP550" s="5" t="str">
        <f>""</f>
        <v/>
      </c>
      <c r="BQ550" s="5" t="str">
        <f>""</f>
        <v/>
      </c>
      <c r="BR550" s="5" t="str">
        <f>"2009"</f>
        <v>2009</v>
      </c>
      <c r="BS550" s="5" t="str">
        <f>"15,00"</f>
        <v>15,00</v>
      </c>
      <c r="BT550" s="5" t="str">
        <f>"2036"</f>
        <v>2036</v>
      </c>
      <c r="BU550" s="5" t="str">
        <f t="shared" si="752"/>
        <v>нет</v>
      </c>
      <c r="BV550" s="5" t="str">
        <f t="shared" si="794"/>
        <v>x</v>
      </c>
      <c r="BW550" s="5" t="str">
        <f t="shared" si="794"/>
        <v>x</v>
      </c>
      <c r="BX550" s="5" t="str">
        <f t="shared" si="794"/>
        <v>x</v>
      </c>
      <c r="BY550" s="5" t="str">
        <f t="shared" si="792"/>
        <v>нет</v>
      </c>
      <c r="BZ550" s="5" t="str">
        <f t="shared" si="793"/>
        <v>x</v>
      </c>
      <c r="CA550" s="5" t="str">
        <f t="shared" si="793"/>
        <v>x</v>
      </c>
      <c r="CB550" s="5" t="str">
        <f t="shared" si="793"/>
        <v>x</v>
      </c>
      <c r="CC550" s="5" t="str">
        <f>"2009"</f>
        <v>2009</v>
      </c>
      <c r="CD550" s="5" t="str">
        <f>"10,00"</f>
        <v>10,00</v>
      </c>
      <c r="CE550" s="5" t="str">
        <f>"2036"</f>
        <v>2036</v>
      </c>
      <c r="CF550" s="5" t="str">
        <f>"2009"</f>
        <v>2009</v>
      </c>
      <c r="CG550" s="5" t="str">
        <f>"5,00"</f>
        <v>5,00</v>
      </c>
      <c r="CH550" s="5" t="str">
        <f>"2036"</f>
        <v>2036</v>
      </c>
      <c r="CI550" s="5" t="str">
        <f>"12,00"</f>
        <v>12,00</v>
      </c>
      <c r="CJ550" s="5" t="str">
        <f>"2036"</f>
        <v>2036</v>
      </c>
    </row>
    <row r="551" spans="1:88" ht="11.25" customHeight="1">
      <c r="A551" s="3" t="str">
        <f>"1.538"</f>
        <v>1.538</v>
      </c>
      <c r="B551" s="4" t="str">
        <f>"пгт. Вохтога, ул. Новая, д.5"</f>
        <v>пгт. Вохтога, ул. Новая, д.5</v>
      </c>
      <c r="C551" s="7" t="str">
        <f>"1995"</f>
        <v>1995</v>
      </c>
      <c r="D551" s="5" t="str">
        <f>""</f>
        <v/>
      </c>
      <c r="E551" s="5" t="str">
        <f>"21,00"</f>
        <v>21,00</v>
      </c>
      <c r="F551" s="5" t="str">
        <f>"2022"</f>
        <v>2022</v>
      </c>
      <c r="G551" s="5" t="str">
        <f t="shared" si="789"/>
        <v>нет</v>
      </c>
      <c r="H551" s="5" t="str">
        <f>""</f>
        <v/>
      </c>
      <c r="I551" s="5" t="str">
        <f>""</f>
        <v/>
      </c>
      <c r="J551" s="5" t="str">
        <f>""</f>
        <v/>
      </c>
      <c r="K551" s="5" t="str">
        <f t="shared" si="790"/>
        <v>нет</v>
      </c>
      <c r="L551" s="5" t="str">
        <f>""</f>
        <v/>
      </c>
      <c r="M551" s="5" t="str">
        <f>""</f>
        <v/>
      </c>
      <c r="N551" s="5" t="str">
        <f>""</f>
        <v/>
      </c>
      <c r="O551" s="8" t="str">
        <f>""</f>
        <v/>
      </c>
      <c r="P551" s="5" t="str">
        <f>""</f>
        <v/>
      </c>
      <c r="Q551" s="5" t="str">
        <f>""</f>
        <v/>
      </c>
      <c r="R551" s="5" t="str">
        <f>""</f>
        <v/>
      </c>
      <c r="S551" s="5" t="str">
        <f>""</f>
        <v/>
      </c>
      <c r="T551" s="5" t="str">
        <f>""</f>
        <v/>
      </c>
      <c r="U551" s="5" t="str">
        <f>""</f>
        <v/>
      </c>
      <c r="V551" s="5" t="str">
        <f>""</f>
        <v/>
      </c>
      <c r="W551" s="5" t="str">
        <f>""</f>
        <v/>
      </c>
      <c r="X551" s="5" t="str">
        <f>""</f>
        <v/>
      </c>
      <c r="Y551" s="9" t="str">
        <f>""</f>
        <v/>
      </c>
      <c r="Z551" s="5" t="str">
        <f>""</f>
        <v/>
      </c>
      <c r="AA551" s="5" t="str">
        <f>""</f>
        <v/>
      </c>
      <c r="AB551" s="5" t="str">
        <f>""</f>
        <v/>
      </c>
      <c r="AC551" s="5" t="str">
        <f>""</f>
        <v/>
      </c>
      <c r="AD551" s="5" t="str">
        <f>""</f>
        <v/>
      </c>
      <c r="AE551" s="5" t="str">
        <f>""</f>
        <v/>
      </c>
      <c r="AF551" s="5" t="str">
        <f>""</f>
        <v/>
      </c>
      <c r="AG551" s="5" t="str">
        <f>""</f>
        <v/>
      </c>
      <c r="AH551" s="5" t="str">
        <f>""</f>
        <v/>
      </c>
      <c r="AI551" s="5" t="str">
        <f>""</f>
        <v/>
      </c>
      <c r="AJ551" s="5" t="str">
        <f>""</f>
        <v/>
      </c>
      <c r="AK551" s="8" t="str">
        <f>""</f>
        <v/>
      </c>
      <c r="AL551" s="5" t="str">
        <f>"21,00"</f>
        <v>21,00</v>
      </c>
      <c r="AM551" s="5" t="str">
        <f>"2022"</f>
        <v>2022</v>
      </c>
      <c r="AN551" s="5" t="str">
        <f t="shared" si="788"/>
        <v>нет</v>
      </c>
      <c r="AO551" s="5" t="str">
        <f>""</f>
        <v/>
      </c>
      <c r="AP551" s="5" t="str">
        <f>""</f>
        <v/>
      </c>
      <c r="AQ551" s="5" t="str">
        <f>""</f>
        <v/>
      </c>
      <c r="AR551" s="5" t="str">
        <f t="shared" si="785"/>
        <v>нет</v>
      </c>
      <c r="AS551" s="5" t="str">
        <f>""</f>
        <v/>
      </c>
      <c r="AT551" s="5" t="str">
        <f>""</f>
        <v/>
      </c>
      <c r="AU551" s="5" t="str">
        <f>""</f>
        <v/>
      </c>
      <c r="AV551" s="5" t="str">
        <f t="shared" si="795"/>
        <v>х</v>
      </c>
      <c r="AW551" s="5" t="str">
        <f t="shared" si="795"/>
        <v>х</v>
      </c>
      <c r="AX551" s="5" t="str">
        <f t="shared" si="795"/>
        <v>х</v>
      </c>
      <c r="AY551" s="5" t="str">
        <f t="shared" si="795"/>
        <v>х</v>
      </c>
      <c r="AZ551" s="5" t="str">
        <f t="shared" si="795"/>
        <v>х</v>
      </c>
      <c r="BA551" s="5" t="str">
        <f t="shared" si="795"/>
        <v>х</v>
      </c>
      <c r="BB551" s="5" t="str">
        <f t="shared" si="795"/>
        <v>х</v>
      </c>
      <c r="BC551" s="5" t="str">
        <f t="shared" si="795"/>
        <v>х</v>
      </c>
      <c r="BD551" s="5" t="str">
        <f t="shared" si="795"/>
        <v>х</v>
      </c>
      <c r="BE551" s="5" t="str">
        <f t="shared" si="795"/>
        <v>х</v>
      </c>
      <c r="BF551" s="5" t="str">
        <f t="shared" si="795"/>
        <v>х</v>
      </c>
      <c r="BG551" s="5" t="str">
        <f>""</f>
        <v/>
      </c>
      <c r="BH551" s="5" t="str">
        <f>""</f>
        <v/>
      </c>
      <c r="BI551" s="5" t="str">
        <f>""</f>
        <v/>
      </c>
      <c r="BJ551" s="5" t="str">
        <f>""</f>
        <v/>
      </c>
      <c r="BK551" s="5" t="str">
        <f>""</f>
        <v/>
      </c>
      <c r="BL551" s="5" t="str">
        <f>""</f>
        <v/>
      </c>
      <c r="BM551" s="5" t="str">
        <f>""</f>
        <v/>
      </c>
      <c r="BN551" s="5" t="str">
        <f>""</f>
        <v/>
      </c>
      <c r="BO551" s="5" t="str">
        <f>""</f>
        <v/>
      </c>
      <c r="BP551" s="5" t="str">
        <f>""</f>
        <v/>
      </c>
      <c r="BQ551" s="5" t="str">
        <f>""</f>
        <v/>
      </c>
      <c r="BR551" s="5" t="str">
        <f>""</f>
        <v/>
      </c>
      <c r="BS551" s="5" t="str">
        <f>"21,00"</f>
        <v>21,00</v>
      </c>
      <c r="BT551" s="5" t="str">
        <f>"2022"</f>
        <v>2022</v>
      </c>
      <c r="BU551" s="5" t="str">
        <f t="shared" si="752"/>
        <v>нет</v>
      </c>
      <c r="BV551" s="5" t="str">
        <f t="shared" si="794"/>
        <v>x</v>
      </c>
      <c r="BW551" s="5" t="str">
        <f t="shared" si="794"/>
        <v>x</v>
      </c>
      <c r="BX551" s="5" t="str">
        <f t="shared" si="794"/>
        <v>x</v>
      </c>
      <c r="BY551" s="5" t="str">
        <f t="shared" si="792"/>
        <v>нет</v>
      </c>
      <c r="BZ551" s="5" t="str">
        <f t="shared" si="793"/>
        <v>x</v>
      </c>
      <c r="CA551" s="5" t="str">
        <f t="shared" si="793"/>
        <v>x</v>
      </c>
      <c r="CB551" s="5" t="str">
        <f t="shared" si="793"/>
        <v>x</v>
      </c>
      <c r="CC551" s="5" t="str">
        <f>""</f>
        <v/>
      </c>
      <c r="CD551" s="5" t="str">
        <f>"21,00"</f>
        <v>21,00</v>
      </c>
      <c r="CE551" s="5" t="str">
        <f>"2022"</f>
        <v>2022</v>
      </c>
      <c r="CF551" s="5" t="str">
        <f>""</f>
        <v/>
      </c>
      <c r="CG551" s="5" t="str">
        <f>"21,00"</f>
        <v>21,00</v>
      </c>
      <c r="CH551" s="5" t="str">
        <f>"2022"</f>
        <v>2022</v>
      </c>
      <c r="CI551" s="5" t="str">
        <f>"21,00"</f>
        <v>21,00</v>
      </c>
      <c r="CJ551" s="5" t="str">
        <f>"2022"</f>
        <v>2022</v>
      </c>
    </row>
    <row r="552" spans="1:88" ht="11.25" customHeight="1">
      <c r="A552" s="3" t="str">
        <f>"1.539"</f>
        <v>1.539</v>
      </c>
      <c r="B552" s="4" t="str">
        <f>"пгт. Вохтога, ул. Новая, д.53"</f>
        <v>пгт. Вохтога, ул. Новая, д.53</v>
      </c>
      <c r="C552" s="7" t="str">
        <f>"1973"</f>
        <v>1973</v>
      </c>
      <c r="D552" s="5" t="str">
        <f>""</f>
        <v/>
      </c>
      <c r="E552" s="5" t="str">
        <f>"47,00"</f>
        <v>47,00</v>
      </c>
      <c r="F552" s="5" t="str">
        <f>"2025"</f>
        <v>2025</v>
      </c>
      <c r="G552" s="5" t="str">
        <f t="shared" si="789"/>
        <v>нет</v>
      </c>
      <c r="H552" s="5" t="str">
        <f>""</f>
        <v/>
      </c>
      <c r="I552" s="5" t="str">
        <f>""</f>
        <v/>
      </c>
      <c r="J552" s="5" t="str">
        <f>""</f>
        <v/>
      </c>
      <c r="K552" s="5" t="str">
        <f t="shared" si="790"/>
        <v>нет</v>
      </c>
      <c r="L552" s="5" t="str">
        <f>""</f>
        <v/>
      </c>
      <c r="M552" s="5" t="str">
        <f>""</f>
        <v/>
      </c>
      <c r="N552" s="5" t="str">
        <f>""</f>
        <v/>
      </c>
      <c r="O552" s="8" t="str">
        <f>""</f>
        <v/>
      </c>
      <c r="P552" s="5" t="str">
        <f>""</f>
        <v/>
      </c>
      <c r="Q552" s="5" t="str">
        <f>""</f>
        <v/>
      </c>
      <c r="R552" s="5" t="str">
        <f>""</f>
        <v/>
      </c>
      <c r="S552" s="5" t="str">
        <f>""</f>
        <v/>
      </c>
      <c r="T552" s="5" t="str">
        <f>""</f>
        <v/>
      </c>
      <c r="U552" s="5" t="str">
        <f>""</f>
        <v/>
      </c>
      <c r="V552" s="5" t="str">
        <f>""</f>
        <v/>
      </c>
      <c r="W552" s="5" t="str">
        <f>""</f>
        <v/>
      </c>
      <c r="X552" s="5" t="str">
        <f>""</f>
        <v/>
      </c>
      <c r="Y552" s="9" t="str">
        <f>""</f>
        <v/>
      </c>
      <c r="Z552" s="5" t="str">
        <f>""</f>
        <v/>
      </c>
      <c r="AA552" s="5" t="str">
        <f>""</f>
        <v/>
      </c>
      <c r="AB552" s="5" t="str">
        <f>""</f>
        <v/>
      </c>
      <c r="AC552" s="5" t="str">
        <f>""</f>
        <v/>
      </c>
      <c r="AD552" s="5" t="str">
        <f>""</f>
        <v/>
      </c>
      <c r="AE552" s="5" t="str">
        <f>""</f>
        <v/>
      </c>
      <c r="AF552" s="5" t="str">
        <f>""</f>
        <v/>
      </c>
      <c r="AG552" s="5" t="str">
        <f>""</f>
        <v/>
      </c>
      <c r="AH552" s="5" t="str">
        <f>""</f>
        <v/>
      </c>
      <c r="AI552" s="5" t="str">
        <f>""</f>
        <v/>
      </c>
      <c r="AJ552" s="5" t="str">
        <f>""</f>
        <v/>
      </c>
      <c r="AK552" s="8" t="str">
        <f>""</f>
        <v/>
      </c>
      <c r="AL552" s="5" t="str">
        <f>"25,00"</f>
        <v>25,00</v>
      </c>
      <c r="AM552" s="5" t="str">
        <f>"2025"</f>
        <v>2025</v>
      </c>
      <c r="AN552" s="5" t="str">
        <f t="shared" si="788"/>
        <v>нет</v>
      </c>
      <c r="AO552" s="5" t="str">
        <f>""</f>
        <v/>
      </c>
      <c r="AP552" s="5" t="str">
        <f>""</f>
        <v/>
      </c>
      <c r="AQ552" s="5" t="str">
        <f>""</f>
        <v/>
      </c>
      <c r="AR552" s="5" t="str">
        <f t="shared" si="785"/>
        <v>нет</v>
      </c>
      <c r="AS552" s="5" t="str">
        <f>""</f>
        <v/>
      </c>
      <c r="AT552" s="5" t="str">
        <f>""</f>
        <v/>
      </c>
      <c r="AU552" s="5" t="str">
        <f>""</f>
        <v/>
      </c>
      <c r="AV552" s="5" t="str">
        <f t="shared" si="795"/>
        <v>х</v>
      </c>
      <c r="AW552" s="5" t="str">
        <f t="shared" si="795"/>
        <v>х</v>
      </c>
      <c r="AX552" s="5" t="str">
        <f t="shared" si="795"/>
        <v>х</v>
      </c>
      <c r="AY552" s="5" t="str">
        <f t="shared" si="795"/>
        <v>х</v>
      </c>
      <c r="AZ552" s="5" t="str">
        <f t="shared" si="795"/>
        <v>х</v>
      </c>
      <c r="BA552" s="5" t="str">
        <f t="shared" si="795"/>
        <v>х</v>
      </c>
      <c r="BB552" s="5" t="str">
        <f t="shared" si="795"/>
        <v>х</v>
      </c>
      <c r="BC552" s="5" t="str">
        <f t="shared" si="795"/>
        <v>х</v>
      </c>
      <c r="BD552" s="5" t="str">
        <f t="shared" si="795"/>
        <v>х</v>
      </c>
      <c r="BE552" s="5" t="str">
        <f t="shared" si="795"/>
        <v>х</v>
      </c>
      <c r="BF552" s="5" t="str">
        <f t="shared" si="795"/>
        <v>х</v>
      </c>
      <c r="BG552" s="5" t="str">
        <f>""</f>
        <v/>
      </c>
      <c r="BH552" s="5" t="str">
        <f>""</f>
        <v/>
      </c>
      <c r="BI552" s="5" t="str">
        <f>""</f>
        <v/>
      </c>
      <c r="BJ552" s="5" t="str">
        <f>""</f>
        <v/>
      </c>
      <c r="BK552" s="5" t="str">
        <f>""</f>
        <v/>
      </c>
      <c r="BL552" s="5" t="str">
        <f>""</f>
        <v/>
      </c>
      <c r="BM552" s="5" t="str">
        <f>""</f>
        <v/>
      </c>
      <c r="BN552" s="5" t="str">
        <f>""</f>
        <v/>
      </c>
      <c r="BO552" s="5" t="str">
        <f>""</f>
        <v/>
      </c>
      <c r="BP552" s="5" t="str">
        <f>""</f>
        <v/>
      </c>
      <c r="BQ552" s="5" t="str">
        <f>""</f>
        <v/>
      </c>
      <c r="BR552" s="5" t="str">
        <f>""</f>
        <v/>
      </c>
      <c r="BS552" s="5" t="str">
        <f>"47,00"</f>
        <v>47,00</v>
      </c>
      <c r="BT552" s="5" t="str">
        <f>"2020"</f>
        <v>2020</v>
      </c>
      <c r="BU552" s="5" t="str">
        <f t="shared" si="752"/>
        <v>нет</v>
      </c>
      <c r="BV552" s="5" t="str">
        <f t="shared" si="794"/>
        <v>x</v>
      </c>
      <c r="BW552" s="5" t="str">
        <f t="shared" si="794"/>
        <v>x</v>
      </c>
      <c r="BX552" s="5" t="str">
        <f t="shared" si="794"/>
        <v>x</v>
      </c>
      <c r="BY552" s="5" t="str">
        <f t="shared" si="792"/>
        <v>нет</v>
      </c>
      <c r="BZ552" s="5" t="str">
        <f t="shared" si="793"/>
        <v>x</v>
      </c>
      <c r="CA552" s="5" t="str">
        <f t="shared" si="793"/>
        <v>x</v>
      </c>
      <c r="CB552" s="5" t="str">
        <f t="shared" si="793"/>
        <v>x</v>
      </c>
      <c r="CC552" s="5" t="str">
        <f>"2012"</f>
        <v>2012</v>
      </c>
      <c r="CD552" s="5" t="str">
        <f>"47,00"</f>
        <v>47,00</v>
      </c>
      <c r="CE552" s="5" t="str">
        <f>"2021"</f>
        <v>2021</v>
      </c>
      <c r="CF552" s="5" t="str">
        <f>"2012"</f>
        <v>2012</v>
      </c>
      <c r="CG552" s="5" t="str">
        <f>"47,00"</f>
        <v>47,00</v>
      </c>
      <c r="CH552" s="5" t="str">
        <f>"2021"</f>
        <v>2021</v>
      </c>
      <c r="CI552" s="5" t="str">
        <f>"47,00"</f>
        <v>47,00</v>
      </c>
      <c r="CJ552" s="5" t="str">
        <f>"2021"</f>
        <v>2021</v>
      </c>
    </row>
    <row r="553" spans="1:88" ht="11.25" customHeight="1">
      <c r="A553" s="3" t="str">
        <f>"1.540"</f>
        <v>1.540</v>
      </c>
      <c r="B553" s="4" t="str">
        <f>"пгт. Вохтога, ул. Новая, д.61"</f>
        <v>пгт. Вохтога, ул. Новая, д.61</v>
      </c>
      <c r="C553" s="7" t="str">
        <f>"1976"</f>
        <v>1976</v>
      </c>
      <c r="D553" s="5" t="str">
        <f>""</f>
        <v/>
      </c>
      <c r="E553" s="5" t="str">
        <f>"51,00"</f>
        <v>51,00</v>
      </c>
      <c r="F553" s="5" t="str">
        <f>"2019"</f>
        <v>2019</v>
      </c>
      <c r="G553" s="5" t="str">
        <f t="shared" si="789"/>
        <v>нет</v>
      </c>
      <c r="H553" s="5" t="str">
        <f>""</f>
        <v/>
      </c>
      <c r="I553" s="5" t="str">
        <f>""</f>
        <v/>
      </c>
      <c r="J553" s="5" t="str">
        <f>""</f>
        <v/>
      </c>
      <c r="K553" s="5" t="str">
        <f t="shared" si="790"/>
        <v>нет</v>
      </c>
      <c r="L553" s="5" t="str">
        <f>""</f>
        <v/>
      </c>
      <c r="M553" s="5" t="str">
        <f>""</f>
        <v/>
      </c>
      <c r="N553" s="5" t="str">
        <f>""</f>
        <v/>
      </c>
      <c r="O553" s="8" t="str">
        <f>""</f>
        <v/>
      </c>
      <c r="P553" s="5" t="str">
        <f>""</f>
        <v/>
      </c>
      <c r="Q553" s="5" t="str">
        <f>""</f>
        <v/>
      </c>
      <c r="R553" s="5" t="str">
        <f>""</f>
        <v/>
      </c>
      <c r="S553" s="5" t="str">
        <f>""</f>
        <v/>
      </c>
      <c r="T553" s="5" t="str">
        <f>""</f>
        <v/>
      </c>
      <c r="U553" s="5" t="str">
        <f>""</f>
        <v/>
      </c>
      <c r="V553" s="5" t="str">
        <f>""</f>
        <v/>
      </c>
      <c r="W553" s="5" t="str">
        <f>""</f>
        <v/>
      </c>
      <c r="X553" s="5" t="str">
        <f>""</f>
        <v/>
      </c>
      <c r="Y553" s="9" t="str">
        <f>""</f>
        <v/>
      </c>
      <c r="Z553" s="5" t="str">
        <f>""</f>
        <v/>
      </c>
      <c r="AA553" s="5" t="str">
        <f>""</f>
        <v/>
      </c>
      <c r="AB553" s="5" t="str">
        <f>""</f>
        <v/>
      </c>
      <c r="AC553" s="5" t="str">
        <f>""</f>
        <v/>
      </c>
      <c r="AD553" s="5" t="str">
        <f>""</f>
        <v/>
      </c>
      <c r="AE553" s="5" t="str">
        <f>""</f>
        <v/>
      </c>
      <c r="AF553" s="5" t="str">
        <f>""</f>
        <v/>
      </c>
      <c r="AG553" s="5" t="str">
        <f>""</f>
        <v/>
      </c>
      <c r="AH553" s="5" t="str">
        <f>""</f>
        <v/>
      </c>
      <c r="AI553" s="5" t="str">
        <f>""</f>
        <v/>
      </c>
      <c r="AJ553" s="5" t="str">
        <f>""</f>
        <v/>
      </c>
      <c r="AK553" s="8" t="str">
        <f>""</f>
        <v/>
      </c>
      <c r="AL553" s="5" t="str">
        <f>"51,00"</f>
        <v>51,00</v>
      </c>
      <c r="AM553" s="5" t="str">
        <f>"2019"</f>
        <v>2019</v>
      </c>
      <c r="AN553" s="5" t="str">
        <f t="shared" si="788"/>
        <v>нет</v>
      </c>
      <c r="AO553" s="5" t="str">
        <f>""</f>
        <v/>
      </c>
      <c r="AP553" s="5" t="str">
        <f>""</f>
        <v/>
      </c>
      <c r="AQ553" s="5" t="str">
        <f>""</f>
        <v/>
      </c>
      <c r="AR553" s="5" t="str">
        <f t="shared" si="785"/>
        <v>нет</v>
      </c>
      <c r="AS553" s="5" t="str">
        <f>""</f>
        <v/>
      </c>
      <c r="AT553" s="5" t="str">
        <f>""</f>
        <v/>
      </c>
      <c r="AU553" s="5" t="str">
        <f>""</f>
        <v/>
      </c>
      <c r="AV553" s="5" t="str">
        <f t="shared" si="795"/>
        <v>х</v>
      </c>
      <c r="AW553" s="5" t="str">
        <f t="shared" si="795"/>
        <v>х</v>
      </c>
      <c r="AX553" s="5" t="str">
        <f t="shared" si="795"/>
        <v>х</v>
      </c>
      <c r="AY553" s="5" t="str">
        <f t="shared" si="795"/>
        <v>х</v>
      </c>
      <c r="AZ553" s="5" t="str">
        <f t="shared" si="795"/>
        <v>х</v>
      </c>
      <c r="BA553" s="5" t="str">
        <f t="shared" si="795"/>
        <v>х</v>
      </c>
      <c r="BB553" s="5" t="str">
        <f t="shared" si="795"/>
        <v>х</v>
      </c>
      <c r="BC553" s="5" t="str">
        <f t="shared" si="795"/>
        <v>х</v>
      </c>
      <c r="BD553" s="5" t="str">
        <f t="shared" si="795"/>
        <v>х</v>
      </c>
      <c r="BE553" s="5" t="str">
        <f t="shared" si="795"/>
        <v>х</v>
      </c>
      <c r="BF553" s="5" t="str">
        <f t="shared" si="795"/>
        <v>х</v>
      </c>
      <c r="BG553" s="5" t="str">
        <f>""</f>
        <v/>
      </c>
      <c r="BH553" s="5" t="str">
        <f>""</f>
        <v/>
      </c>
      <c r="BI553" s="5" t="str">
        <f>""</f>
        <v/>
      </c>
      <c r="BJ553" s="5" t="str">
        <f>""</f>
        <v/>
      </c>
      <c r="BK553" s="5" t="str">
        <f>""</f>
        <v/>
      </c>
      <c r="BL553" s="5" t="str">
        <f>""</f>
        <v/>
      </c>
      <c r="BM553" s="5" t="str">
        <f>""</f>
        <v/>
      </c>
      <c r="BN553" s="5" t="str">
        <f>""</f>
        <v/>
      </c>
      <c r="BO553" s="5" t="str">
        <f>""</f>
        <v/>
      </c>
      <c r="BP553" s="5" t="str">
        <f>""</f>
        <v/>
      </c>
      <c r="BQ553" s="5" t="str">
        <f>""</f>
        <v/>
      </c>
      <c r="BR553" s="5" t="str">
        <f>""</f>
        <v/>
      </c>
      <c r="BS553" s="5" t="str">
        <f>"51,00"</f>
        <v>51,00</v>
      </c>
      <c r="BT553" s="5" t="str">
        <f>"2018"</f>
        <v>2018</v>
      </c>
      <c r="BU553" s="5" t="str">
        <f t="shared" si="752"/>
        <v>нет</v>
      </c>
      <c r="BV553" s="5" t="str">
        <f t="shared" si="794"/>
        <v>x</v>
      </c>
      <c r="BW553" s="5" t="str">
        <f t="shared" si="794"/>
        <v>x</v>
      </c>
      <c r="BX553" s="5" t="str">
        <f t="shared" si="794"/>
        <v>x</v>
      </c>
      <c r="BY553" s="5" t="str">
        <f t="shared" si="792"/>
        <v>нет</v>
      </c>
      <c r="BZ553" s="5" t="str">
        <f t="shared" si="793"/>
        <v>x</v>
      </c>
      <c r="CA553" s="5" t="str">
        <f t="shared" si="793"/>
        <v>x</v>
      </c>
      <c r="CB553" s="5" t="str">
        <f t="shared" si="793"/>
        <v>x</v>
      </c>
      <c r="CC553" s="5" t="str">
        <f>""</f>
        <v/>
      </c>
      <c r="CD553" s="5" t="str">
        <f>"51,00"</f>
        <v>51,00</v>
      </c>
      <c r="CE553" s="5" t="str">
        <f>"2019"</f>
        <v>2019</v>
      </c>
      <c r="CF553" s="5" t="str">
        <f>""</f>
        <v/>
      </c>
      <c r="CG553" s="5" t="str">
        <f>"51,00"</f>
        <v>51,00</v>
      </c>
      <c r="CH553" s="5" t="str">
        <f>"2019"</f>
        <v>2019</v>
      </c>
      <c r="CI553" s="5" t="str">
        <f>"51,00"</f>
        <v>51,00</v>
      </c>
      <c r="CJ553" s="5" t="str">
        <f>"2019"</f>
        <v>2019</v>
      </c>
    </row>
    <row r="554" spans="1:88" ht="11.25" customHeight="1">
      <c r="A554" s="3" t="str">
        <f>"1.541"</f>
        <v>1.541</v>
      </c>
      <c r="B554" s="4" t="str">
        <f>"пгт. Вохтога, ул. Новая, д.7"</f>
        <v>пгт. Вохтога, ул. Новая, д.7</v>
      </c>
      <c r="C554" s="7" t="str">
        <f>"1979"</f>
        <v>1979</v>
      </c>
      <c r="D554" s="5" t="str">
        <f>""</f>
        <v/>
      </c>
      <c r="E554" s="5" t="str">
        <f>"3,00"</f>
        <v>3,00</v>
      </c>
      <c r="F554" s="5" t="str">
        <f>"2036"</f>
        <v>2036</v>
      </c>
      <c r="G554" s="5" t="str">
        <f t="shared" si="789"/>
        <v>нет</v>
      </c>
      <c r="H554" s="5" t="str">
        <f>""</f>
        <v/>
      </c>
      <c r="I554" s="5" t="str">
        <f>""</f>
        <v/>
      </c>
      <c r="J554" s="5" t="str">
        <f>""</f>
        <v/>
      </c>
      <c r="K554" s="5" t="str">
        <f t="shared" si="790"/>
        <v>нет</v>
      </c>
      <c r="L554" s="5" t="str">
        <f>""</f>
        <v/>
      </c>
      <c r="M554" s="5" t="str">
        <f>""</f>
        <v/>
      </c>
      <c r="N554" s="5" t="str">
        <f>""</f>
        <v/>
      </c>
      <c r="O554" s="8" t="str">
        <f>""</f>
        <v/>
      </c>
      <c r="P554" s="5" t="str">
        <f>""</f>
        <v/>
      </c>
      <c r="Q554" s="5" t="str">
        <f>""</f>
        <v/>
      </c>
      <c r="R554" s="5" t="str">
        <f>""</f>
        <v/>
      </c>
      <c r="S554" s="5" t="str">
        <f>""</f>
        <v/>
      </c>
      <c r="T554" s="5" t="str">
        <f>""</f>
        <v/>
      </c>
      <c r="U554" s="5" t="str">
        <f>""</f>
        <v/>
      </c>
      <c r="V554" s="5" t="str">
        <f>""</f>
        <v/>
      </c>
      <c r="W554" s="5" t="str">
        <f>""</f>
        <v/>
      </c>
      <c r="X554" s="5" t="str">
        <f>""</f>
        <v/>
      </c>
      <c r="Y554" s="9" t="str">
        <f>""</f>
        <v/>
      </c>
      <c r="Z554" s="5" t="str">
        <f>""</f>
        <v/>
      </c>
      <c r="AA554" s="5" t="str">
        <f>""</f>
        <v/>
      </c>
      <c r="AB554" s="5" t="str">
        <f>""</f>
        <v/>
      </c>
      <c r="AC554" s="5" t="str">
        <f>""</f>
        <v/>
      </c>
      <c r="AD554" s="5" t="str">
        <f>""</f>
        <v/>
      </c>
      <c r="AE554" s="5" t="str">
        <f>""</f>
        <v/>
      </c>
      <c r="AF554" s="5" t="str">
        <f>""</f>
        <v/>
      </c>
      <c r="AG554" s="5" t="str">
        <f>""</f>
        <v/>
      </c>
      <c r="AH554" s="5" t="str">
        <f>""</f>
        <v/>
      </c>
      <c r="AI554" s="5" t="str">
        <f>""</f>
        <v/>
      </c>
      <c r="AJ554" s="5" t="str">
        <f>""</f>
        <v/>
      </c>
      <c r="AK554" s="8" t="str">
        <f>""</f>
        <v/>
      </c>
      <c r="AL554" s="5" t="str">
        <f>"3,00"</f>
        <v>3,00</v>
      </c>
      <c r="AM554" s="5" t="str">
        <f>"2036"</f>
        <v>2036</v>
      </c>
      <c r="AN554" s="5" t="str">
        <f t="shared" si="788"/>
        <v>нет</v>
      </c>
      <c r="AO554" s="5" t="str">
        <f>""</f>
        <v/>
      </c>
      <c r="AP554" s="5" t="str">
        <f>""</f>
        <v/>
      </c>
      <c r="AQ554" s="5" t="str">
        <f>""</f>
        <v/>
      </c>
      <c r="AR554" s="5" t="str">
        <f t="shared" si="785"/>
        <v>нет</v>
      </c>
      <c r="AS554" s="5" t="str">
        <f>""</f>
        <v/>
      </c>
      <c r="AT554" s="5" t="str">
        <f>""</f>
        <v/>
      </c>
      <c r="AU554" s="5" t="str">
        <f>""</f>
        <v/>
      </c>
      <c r="AV554" s="5" t="str">
        <f t="shared" si="795"/>
        <v>х</v>
      </c>
      <c r="AW554" s="5" t="str">
        <f t="shared" si="795"/>
        <v>х</v>
      </c>
      <c r="AX554" s="5" t="str">
        <f t="shared" si="795"/>
        <v>х</v>
      </c>
      <c r="AY554" s="5" t="str">
        <f t="shared" si="795"/>
        <v>х</v>
      </c>
      <c r="AZ554" s="5" t="str">
        <f t="shared" si="795"/>
        <v>х</v>
      </c>
      <c r="BA554" s="5" t="str">
        <f t="shared" si="795"/>
        <v>х</v>
      </c>
      <c r="BB554" s="5" t="str">
        <f t="shared" si="795"/>
        <v>х</v>
      </c>
      <c r="BC554" s="5" t="str">
        <f t="shared" si="795"/>
        <v>х</v>
      </c>
      <c r="BD554" s="5" t="str">
        <f t="shared" si="795"/>
        <v>х</v>
      </c>
      <c r="BE554" s="5" t="str">
        <f t="shared" si="795"/>
        <v>х</v>
      </c>
      <c r="BF554" s="5" t="str">
        <f t="shared" si="795"/>
        <v>х</v>
      </c>
      <c r="BG554" s="5" t="str">
        <f>""</f>
        <v/>
      </c>
      <c r="BH554" s="5" t="str">
        <f>""</f>
        <v/>
      </c>
      <c r="BI554" s="5" t="str">
        <f>""</f>
        <v/>
      </c>
      <c r="BJ554" s="5" t="str">
        <f>""</f>
        <v/>
      </c>
      <c r="BK554" s="5" t="str">
        <f>""</f>
        <v/>
      </c>
      <c r="BL554" s="5" t="str">
        <f>""</f>
        <v/>
      </c>
      <c r="BM554" s="5" t="str">
        <f>""</f>
        <v/>
      </c>
      <c r="BN554" s="5" t="str">
        <f>""</f>
        <v/>
      </c>
      <c r="BO554" s="5" t="str">
        <f>""</f>
        <v/>
      </c>
      <c r="BP554" s="5" t="str">
        <f>""</f>
        <v/>
      </c>
      <c r="BQ554" s="5" t="str">
        <f>""</f>
        <v/>
      </c>
      <c r="BR554" s="5" t="str">
        <f>""</f>
        <v/>
      </c>
      <c r="BS554" s="5" t="str">
        <f>"3,00"</f>
        <v>3,00</v>
      </c>
      <c r="BT554" s="5" t="str">
        <f>"2020"</f>
        <v>2020</v>
      </c>
      <c r="BU554" s="5" t="str">
        <f t="shared" si="752"/>
        <v>нет</v>
      </c>
      <c r="BV554" s="5" t="str">
        <f t="shared" si="794"/>
        <v>x</v>
      </c>
      <c r="BW554" s="5" t="str">
        <f t="shared" si="794"/>
        <v>x</v>
      </c>
      <c r="BX554" s="5" t="str">
        <f t="shared" si="794"/>
        <v>x</v>
      </c>
      <c r="BY554" s="5" t="str">
        <f t="shared" si="792"/>
        <v>нет</v>
      </c>
      <c r="BZ554" s="5" t="str">
        <f t="shared" si="793"/>
        <v>x</v>
      </c>
      <c r="CA554" s="5" t="str">
        <f t="shared" si="793"/>
        <v>x</v>
      </c>
      <c r="CB554" s="5" t="str">
        <f t="shared" si="793"/>
        <v>x</v>
      </c>
      <c r="CC554" s="5" t="str">
        <f>""</f>
        <v/>
      </c>
      <c r="CD554" s="5" t="str">
        <f>"3,00"</f>
        <v>3,00</v>
      </c>
      <c r="CE554" s="5" t="str">
        <f>"2036"</f>
        <v>2036</v>
      </c>
      <c r="CF554" s="5" t="str">
        <f>""</f>
        <v/>
      </c>
      <c r="CG554" s="5" t="str">
        <f>"3,00"</f>
        <v>3,00</v>
      </c>
      <c r="CH554" s="5" t="str">
        <f>"2036"</f>
        <v>2036</v>
      </c>
      <c r="CI554" s="5" t="str">
        <f>"3,00"</f>
        <v>3,00</v>
      </c>
      <c r="CJ554" s="5" t="str">
        <f>"2036"</f>
        <v>2036</v>
      </c>
    </row>
    <row r="555" spans="1:88" ht="11.25" customHeight="1">
      <c r="A555" s="3" t="str">
        <f>"1.542"</f>
        <v>1.542</v>
      </c>
      <c r="B555" s="4" t="str">
        <f>"пгт. Вохтога, ул. Новая, д.8"</f>
        <v>пгт. Вохтога, ул. Новая, д.8</v>
      </c>
      <c r="C555" s="7" t="str">
        <f>"1982"</f>
        <v>1982</v>
      </c>
      <c r="D555" s="5" t="str">
        <f>""</f>
        <v/>
      </c>
      <c r="E555" s="5" t="str">
        <f>"33,00"</f>
        <v>33,00</v>
      </c>
      <c r="F555" s="5" t="str">
        <f>"2036"</f>
        <v>2036</v>
      </c>
      <c r="G555" s="5" t="str">
        <f t="shared" si="789"/>
        <v>нет</v>
      </c>
      <c r="H555" s="5" t="str">
        <f>""</f>
        <v/>
      </c>
      <c r="I555" s="5" t="str">
        <f>""</f>
        <v/>
      </c>
      <c r="J555" s="5" t="str">
        <f>""</f>
        <v/>
      </c>
      <c r="K555" s="5" t="str">
        <f t="shared" si="790"/>
        <v>нет</v>
      </c>
      <c r="L555" s="5" t="str">
        <f>""</f>
        <v/>
      </c>
      <c r="M555" s="5" t="str">
        <f>""</f>
        <v/>
      </c>
      <c r="N555" s="5" t="str">
        <f>""</f>
        <v/>
      </c>
      <c r="O555" s="8" t="str">
        <f>""</f>
        <v/>
      </c>
      <c r="P555" s="5" t="str">
        <f>""</f>
        <v/>
      </c>
      <c r="Q555" s="5" t="str">
        <f>""</f>
        <v/>
      </c>
      <c r="R555" s="5" t="str">
        <f>""</f>
        <v/>
      </c>
      <c r="S555" s="5" t="str">
        <f>""</f>
        <v/>
      </c>
      <c r="T555" s="5" t="str">
        <f>""</f>
        <v/>
      </c>
      <c r="U555" s="5" t="str">
        <f>""</f>
        <v/>
      </c>
      <c r="V555" s="5" t="str">
        <f>""</f>
        <v/>
      </c>
      <c r="W555" s="5" t="str">
        <f>""</f>
        <v/>
      </c>
      <c r="X555" s="5" t="str">
        <f>""</f>
        <v/>
      </c>
      <c r="Y555" s="9" t="str">
        <f>""</f>
        <v/>
      </c>
      <c r="Z555" s="5" t="str">
        <f>""</f>
        <v/>
      </c>
      <c r="AA555" s="5" t="str">
        <f>""</f>
        <v/>
      </c>
      <c r="AB555" s="5" t="str">
        <f>""</f>
        <v/>
      </c>
      <c r="AC555" s="5" t="str">
        <f>""</f>
        <v/>
      </c>
      <c r="AD555" s="5" t="str">
        <f>""</f>
        <v/>
      </c>
      <c r="AE555" s="5" t="str">
        <f>""</f>
        <v/>
      </c>
      <c r="AF555" s="5" t="str">
        <f>""</f>
        <v/>
      </c>
      <c r="AG555" s="5" t="str">
        <f>""</f>
        <v/>
      </c>
      <c r="AH555" s="5" t="str">
        <f>""</f>
        <v/>
      </c>
      <c r="AI555" s="5" t="str">
        <f>""</f>
        <v/>
      </c>
      <c r="AJ555" s="5" t="str">
        <f>""</f>
        <v/>
      </c>
      <c r="AK555" s="8" t="str">
        <f>""</f>
        <v/>
      </c>
      <c r="AL555" s="5" t="str">
        <f>"33,00"</f>
        <v>33,00</v>
      </c>
      <c r="AM555" s="5" t="str">
        <f>"2026"</f>
        <v>2026</v>
      </c>
      <c r="AN555" s="5" t="str">
        <f t="shared" si="788"/>
        <v>нет</v>
      </c>
      <c r="AO555" s="5" t="str">
        <f>""</f>
        <v/>
      </c>
      <c r="AP555" s="5" t="str">
        <f>""</f>
        <v/>
      </c>
      <c r="AQ555" s="5" t="str">
        <f>""</f>
        <v/>
      </c>
      <c r="AR555" s="5" t="str">
        <f t="shared" si="785"/>
        <v>нет</v>
      </c>
      <c r="AS555" s="5" t="str">
        <f>""</f>
        <v/>
      </c>
      <c r="AT555" s="5" t="str">
        <f>""</f>
        <v/>
      </c>
      <c r="AU555" s="5" t="str">
        <f>""</f>
        <v/>
      </c>
      <c r="AV555" s="5" t="str">
        <f t="shared" si="795"/>
        <v>х</v>
      </c>
      <c r="AW555" s="5" t="str">
        <f t="shared" si="795"/>
        <v>х</v>
      </c>
      <c r="AX555" s="5" t="str">
        <f t="shared" si="795"/>
        <v>х</v>
      </c>
      <c r="AY555" s="5" t="str">
        <f t="shared" si="795"/>
        <v>х</v>
      </c>
      <c r="AZ555" s="5" t="str">
        <f t="shared" si="795"/>
        <v>х</v>
      </c>
      <c r="BA555" s="5" t="str">
        <f t="shared" si="795"/>
        <v>х</v>
      </c>
      <c r="BB555" s="5" t="str">
        <f t="shared" si="795"/>
        <v>х</v>
      </c>
      <c r="BC555" s="5" t="str">
        <f t="shared" si="795"/>
        <v>х</v>
      </c>
      <c r="BD555" s="5" t="str">
        <f t="shared" si="795"/>
        <v>х</v>
      </c>
      <c r="BE555" s="5" t="str">
        <f t="shared" si="795"/>
        <v>х</v>
      </c>
      <c r="BF555" s="5" t="str">
        <f t="shared" si="795"/>
        <v>х</v>
      </c>
      <c r="BG555" s="5" t="str">
        <f>""</f>
        <v/>
      </c>
      <c r="BH555" s="5" t="str">
        <f>""</f>
        <v/>
      </c>
      <c r="BI555" s="5" t="str">
        <f>""</f>
        <v/>
      </c>
      <c r="BJ555" s="5" t="str">
        <f>""</f>
        <v/>
      </c>
      <c r="BK555" s="5" t="str">
        <f>""</f>
        <v/>
      </c>
      <c r="BL555" s="5" t="str">
        <f>""</f>
        <v/>
      </c>
      <c r="BM555" s="5" t="str">
        <f>""</f>
        <v/>
      </c>
      <c r="BN555" s="5" t="str">
        <f>""</f>
        <v/>
      </c>
      <c r="BO555" s="5" t="str">
        <f>""</f>
        <v/>
      </c>
      <c r="BP555" s="5" t="str">
        <f>""</f>
        <v/>
      </c>
      <c r="BQ555" s="5" t="str">
        <f>""</f>
        <v/>
      </c>
      <c r="BR555" s="5" t="str">
        <f>""</f>
        <v/>
      </c>
      <c r="BS555" s="5" t="str">
        <f>"33,00"</f>
        <v>33,00</v>
      </c>
      <c r="BT555" s="5" t="str">
        <f>"2026"</f>
        <v>2026</v>
      </c>
      <c r="BU555" s="5" t="str">
        <f t="shared" si="752"/>
        <v>нет</v>
      </c>
      <c r="BV555" s="5" t="str">
        <f t="shared" si="794"/>
        <v>x</v>
      </c>
      <c r="BW555" s="5" t="str">
        <f t="shared" si="794"/>
        <v>x</v>
      </c>
      <c r="BX555" s="5" t="str">
        <f t="shared" si="794"/>
        <v>x</v>
      </c>
      <c r="BY555" s="5" t="str">
        <f t="shared" si="792"/>
        <v>нет</v>
      </c>
      <c r="BZ555" s="5" t="str">
        <f t="shared" si="793"/>
        <v>x</v>
      </c>
      <c r="CA555" s="5" t="str">
        <f t="shared" si="793"/>
        <v>x</v>
      </c>
      <c r="CB555" s="5" t="str">
        <f t="shared" si="793"/>
        <v>x</v>
      </c>
      <c r="CC555" s="5" t="str">
        <f>""</f>
        <v/>
      </c>
      <c r="CD555" s="5" t="str">
        <f>"33,00"</f>
        <v>33,00</v>
      </c>
      <c r="CE555" s="5" t="str">
        <f>"2026"</f>
        <v>2026</v>
      </c>
      <c r="CF555" s="5" t="str">
        <f>""</f>
        <v/>
      </c>
      <c r="CG555" s="5" t="str">
        <f>"33,00"</f>
        <v>33,00</v>
      </c>
      <c r="CH555" s="5" t="str">
        <f>"2026"</f>
        <v>2026</v>
      </c>
      <c r="CI555" s="5" t="str">
        <f>"33,00"</f>
        <v>33,00</v>
      </c>
      <c r="CJ555" s="5" t="str">
        <f>"2026"</f>
        <v>2026</v>
      </c>
    </row>
    <row r="556" spans="1:88" ht="11.25" customHeight="1">
      <c r="A556" s="3" t="str">
        <f>"1.543"</f>
        <v>1.543</v>
      </c>
      <c r="B556" s="4" t="str">
        <f>"пгт. Вохтога, ул. Новая, д.9"</f>
        <v>пгт. Вохтога, ул. Новая, д.9</v>
      </c>
      <c r="C556" s="7" t="str">
        <f>"1979"</f>
        <v>1979</v>
      </c>
      <c r="D556" s="5" t="str">
        <f>""</f>
        <v/>
      </c>
      <c r="E556" s="5" t="str">
        <f>"65,00"</f>
        <v>65,00</v>
      </c>
      <c r="F556" s="5" t="str">
        <f>"2032"</f>
        <v>2032</v>
      </c>
      <c r="G556" s="5" t="str">
        <f t="shared" si="789"/>
        <v>нет</v>
      </c>
      <c r="H556" s="5" t="str">
        <f>""</f>
        <v/>
      </c>
      <c r="I556" s="5" t="str">
        <f>""</f>
        <v/>
      </c>
      <c r="J556" s="5" t="str">
        <f>""</f>
        <v/>
      </c>
      <c r="K556" s="5" t="str">
        <f t="shared" si="790"/>
        <v>нет</v>
      </c>
      <c r="L556" s="5" t="str">
        <f>""</f>
        <v/>
      </c>
      <c r="M556" s="5" t="str">
        <f>""</f>
        <v/>
      </c>
      <c r="N556" s="5" t="str">
        <f>""</f>
        <v/>
      </c>
      <c r="O556" s="8" t="str">
        <f>""</f>
        <v/>
      </c>
      <c r="P556" s="5" t="str">
        <f>""</f>
        <v/>
      </c>
      <c r="Q556" s="5" t="str">
        <f>""</f>
        <v/>
      </c>
      <c r="R556" s="5" t="str">
        <f>""</f>
        <v/>
      </c>
      <c r="S556" s="5" t="str">
        <f>""</f>
        <v/>
      </c>
      <c r="T556" s="5" t="str">
        <f>""</f>
        <v/>
      </c>
      <c r="U556" s="5" t="str">
        <f>""</f>
        <v/>
      </c>
      <c r="V556" s="5" t="str">
        <f>""</f>
        <v/>
      </c>
      <c r="W556" s="5" t="str">
        <f>""</f>
        <v/>
      </c>
      <c r="X556" s="5" t="str">
        <f>""</f>
        <v/>
      </c>
      <c r="Y556" s="9" t="str">
        <f>""</f>
        <v/>
      </c>
      <c r="Z556" s="5" t="str">
        <f>""</f>
        <v/>
      </c>
      <c r="AA556" s="5" t="str">
        <f>""</f>
        <v/>
      </c>
      <c r="AB556" s="5" t="str">
        <f>""</f>
        <v/>
      </c>
      <c r="AC556" s="5" t="str">
        <f>""</f>
        <v/>
      </c>
      <c r="AD556" s="5" t="str">
        <f>""</f>
        <v/>
      </c>
      <c r="AE556" s="5" t="str">
        <f>""</f>
        <v/>
      </c>
      <c r="AF556" s="5" t="str">
        <f>""</f>
        <v/>
      </c>
      <c r="AG556" s="5" t="str">
        <f>""</f>
        <v/>
      </c>
      <c r="AH556" s="5" t="str">
        <f>""</f>
        <v/>
      </c>
      <c r="AI556" s="5" t="str">
        <f>""</f>
        <v/>
      </c>
      <c r="AJ556" s="5" t="str">
        <f>""</f>
        <v/>
      </c>
      <c r="AK556" s="8" t="str">
        <f>""</f>
        <v/>
      </c>
      <c r="AL556" s="5" t="str">
        <f>"65,00"</f>
        <v>65,00</v>
      </c>
      <c r="AM556" s="5" t="str">
        <f>"2032"</f>
        <v>2032</v>
      </c>
      <c r="AN556" s="5" t="str">
        <f t="shared" si="788"/>
        <v>нет</v>
      </c>
      <c r="AO556" s="5" t="str">
        <f>""</f>
        <v/>
      </c>
      <c r="AP556" s="5" t="str">
        <f>""</f>
        <v/>
      </c>
      <c r="AQ556" s="5" t="str">
        <f>""</f>
        <v/>
      </c>
      <c r="AR556" s="5" t="str">
        <f t="shared" si="785"/>
        <v>нет</v>
      </c>
      <c r="AS556" s="5" t="str">
        <f>""</f>
        <v/>
      </c>
      <c r="AT556" s="5" t="str">
        <f>""</f>
        <v/>
      </c>
      <c r="AU556" s="5" t="str">
        <f>""</f>
        <v/>
      </c>
      <c r="AV556" s="5" t="str">
        <f t="shared" si="795"/>
        <v>х</v>
      </c>
      <c r="AW556" s="5" t="str">
        <f t="shared" si="795"/>
        <v>х</v>
      </c>
      <c r="AX556" s="5" t="str">
        <f t="shared" si="795"/>
        <v>х</v>
      </c>
      <c r="AY556" s="5" t="str">
        <f t="shared" si="795"/>
        <v>х</v>
      </c>
      <c r="AZ556" s="5" t="str">
        <f t="shared" si="795"/>
        <v>х</v>
      </c>
      <c r="BA556" s="5" t="str">
        <f t="shared" si="795"/>
        <v>х</v>
      </c>
      <c r="BB556" s="5" t="str">
        <f t="shared" si="795"/>
        <v>х</v>
      </c>
      <c r="BC556" s="5" t="str">
        <f t="shared" si="795"/>
        <v>х</v>
      </c>
      <c r="BD556" s="5" t="str">
        <f t="shared" si="795"/>
        <v>х</v>
      </c>
      <c r="BE556" s="5" t="str">
        <f t="shared" si="795"/>
        <v>х</v>
      </c>
      <c r="BF556" s="5" t="str">
        <f t="shared" si="795"/>
        <v>х</v>
      </c>
      <c r="BG556" s="5" t="str">
        <f>""</f>
        <v/>
      </c>
      <c r="BH556" s="5" t="str">
        <f>""</f>
        <v/>
      </c>
      <c r="BI556" s="5" t="str">
        <f>""</f>
        <v/>
      </c>
      <c r="BJ556" s="5" t="str">
        <f>""</f>
        <v/>
      </c>
      <c r="BK556" s="5" t="str">
        <f>""</f>
        <v/>
      </c>
      <c r="BL556" s="5" t="str">
        <f>""</f>
        <v/>
      </c>
      <c r="BM556" s="5" t="str">
        <f>""</f>
        <v/>
      </c>
      <c r="BN556" s="5" t="str">
        <f>""</f>
        <v/>
      </c>
      <c r="BO556" s="5" t="str">
        <f>""</f>
        <v/>
      </c>
      <c r="BP556" s="5" t="str">
        <f>""</f>
        <v/>
      </c>
      <c r="BQ556" s="5" t="str">
        <f>""</f>
        <v/>
      </c>
      <c r="BR556" s="5" t="str">
        <f>""</f>
        <v/>
      </c>
      <c r="BS556" s="5" t="str">
        <f>"65,00"</f>
        <v>65,00</v>
      </c>
      <c r="BT556" s="5" t="str">
        <f>"2019"</f>
        <v>2019</v>
      </c>
      <c r="BU556" s="5" t="str">
        <f t="shared" ref="BU556:BU619" si="796">"нет"</f>
        <v>нет</v>
      </c>
      <c r="BV556" s="5" t="str">
        <f t="shared" si="794"/>
        <v>x</v>
      </c>
      <c r="BW556" s="5" t="str">
        <f t="shared" si="794"/>
        <v>x</v>
      </c>
      <c r="BX556" s="5" t="str">
        <f t="shared" si="794"/>
        <v>x</v>
      </c>
      <c r="BY556" s="5" t="str">
        <f t="shared" si="792"/>
        <v>нет</v>
      </c>
      <c r="BZ556" s="5" t="str">
        <f t="shared" si="793"/>
        <v>x</v>
      </c>
      <c r="CA556" s="5" t="str">
        <f t="shared" si="793"/>
        <v>x</v>
      </c>
      <c r="CB556" s="5" t="str">
        <f t="shared" si="793"/>
        <v>x</v>
      </c>
      <c r="CC556" s="5" t="str">
        <f>""</f>
        <v/>
      </c>
      <c r="CD556" s="5" t="str">
        <f>"65,00"</f>
        <v>65,00</v>
      </c>
      <c r="CE556" s="5" t="str">
        <f>"2032"</f>
        <v>2032</v>
      </c>
      <c r="CF556" s="5" t="str">
        <f>""</f>
        <v/>
      </c>
      <c r="CG556" s="5" t="str">
        <f>"65,00"</f>
        <v>65,00</v>
      </c>
      <c r="CH556" s="5" t="str">
        <f>"2032"</f>
        <v>2032</v>
      </c>
      <c r="CI556" s="5" t="str">
        <f>"65,00"</f>
        <v>65,00</v>
      </c>
      <c r="CJ556" s="5" t="str">
        <f>"2032"</f>
        <v>2032</v>
      </c>
    </row>
    <row r="557" spans="1:88" ht="11.25" customHeight="1">
      <c r="A557" s="3" t="str">
        <f>"1.544"</f>
        <v>1.544</v>
      </c>
      <c r="B557" s="4" t="str">
        <f>"пгт. Вохтога, ул. Октябрьская, д.1"</f>
        <v>пгт. Вохтога, ул. Октябрьская, д.1</v>
      </c>
      <c r="C557" s="7" t="str">
        <f>"1939"</f>
        <v>1939</v>
      </c>
      <c r="D557" s="5" t="str">
        <f>""</f>
        <v/>
      </c>
      <c r="E557" s="5" t="str">
        <f>"42,00"</f>
        <v>42,00</v>
      </c>
      <c r="F557" s="5" t="str">
        <f>"2018"</f>
        <v>2018</v>
      </c>
      <c r="G557" s="5" t="str">
        <f t="shared" si="789"/>
        <v>нет</v>
      </c>
      <c r="H557" s="5" t="str">
        <f>""</f>
        <v/>
      </c>
      <c r="I557" s="5" t="str">
        <f>""</f>
        <v/>
      </c>
      <c r="J557" s="5" t="str">
        <f>""</f>
        <v/>
      </c>
      <c r="K557" s="5" t="str">
        <f t="shared" si="790"/>
        <v>нет</v>
      </c>
      <c r="L557" s="5" t="str">
        <f>""</f>
        <v/>
      </c>
      <c r="M557" s="5" t="str">
        <f>""</f>
        <v/>
      </c>
      <c r="N557" s="5" t="str">
        <f>""</f>
        <v/>
      </c>
      <c r="O557" s="8" t="str">
        <f>""</f>
        <v/>
      </c>
      <c r="P557" s="5" t="str">
        <f>""</f>
        <v/>
      </c>
      <c r="Q557" s="5" t="str">
        <f>""</f>
        <v/>
      </c>
      <c r="R557" s="5" t="str">
        <f>""</f>
        <v/>
      </c>
      <c r="S557" s="5" t="str">
        <f>""</f>
        <v/>
      </c>
      <c r="T557" s="5" t="str">
        <f>""</f>
        <v/>
      </c>
      <c r="U557" s="5" t="str">
        <f>""</f>
        <v/>
      </c>
      <c r="V557" s="5" t="str">
        <f>""</f>
        <v/>
      </c>
      <c r="W557" s="5" t="str">
        <f>""</f>
        <v/>
      </c>
      <c r="X557" s="5" t="str">
        <f>""</f>
        <v/>
      </c>
      <c r="Y557" s="9" t="str">
        <f>""</f>
        <v/>
      </c>
      <c r="Z557" s="5" t="str">
        <f>""</f>
        <v/>
      </c>
      <c r="AA557" s="5" t="str">
        <f>""</f>
        <v/>
      </c>
      <c r="AB557" s="5" t="str">
        <f>""</f>
        <v/>
      </c>
      <c r="AC557" s="5" t="str">
        <f>""</f>
        <v/>
      </c>
      <c r="AD557" s="5" t="str">
        <f>""</f>
        <v/>
      </c>
      <c r="AE557" s="5" t="str">
        <f>""</f>
        <v/>
      </c>
      <c r="AF557" s="5" t="str">
        <f>""</f>
        <v/>
      </c>
      <c r="AG557" s="5" t="str">
        <f>""</f>
        <v/>
      </c>
      <c r="AH557" s="5" t="str">
        <f>""</f>
        <v/>
      </c>
      <c r="AI557" s="5" t="str">
        <f>""</f>
        <v/>
      </c>
      <c r="AJ557" s="5" t="str">
        <f>""</f>
        <v/>
      </c>
      <c r="AK557" s="8" t="str">
        <f>""</f>
        <v/>
      </c>
      <c r="AL557" s="5" t="str">
        <f>"42,00"</f>
        <v>42,00</v>
      </c>
      <c r="AM557" s="5" t="str">
        <f>"2024"</f>
        <v>2024</v>
      </c>
      <c r="AN557" s="5" t="str">
        <f t="shared" si="788"/>
        <v>нет</v>
      </c>
      <c r="AO557" s="5" t="str">
        <f>""</f>
        <v/>
      </c>
      <c r="AP557" s="5" t="str">
        <f>""</f>
        <v/>
      </c>
      <c r="AQ557" s="5" t="str">
        <f>""</f>
        <v/>
      </c>
      <c r="AR557" s="5" t="str">
        <f t="shared" si="785"/>
        <v>нет</v>
      </c>
      <c r="AS557" s="5" t="str">
        <f>""</f>
        <v/>
      </c>
      <c r="AT557" s="5" t="str">
        <f>""</f>
        <v/>
      </c>
      <c r="AU557" s="5" t="str">
        <f>""</f>
        <v/>
      </c>
      <c r="AV557" s="5" t="str">
        <f t="shared" si="795"/>
        <v>х</v>
      </c>
      <c r="AW557" s="5" t="str">
        <f t="shared" si="795"/>
        <v>х</v>
      </c>
      <c r="AX557" s="5" t="str">
        <f t="shared" si="795"/>
        <v>х</v>
      </c>
      <c r="AY557" s="5" t="str">
        <f t="shared" si="795"/>
        <v>х</v>
      </c>
      <c r="AZ557" s="5" t="str">
        <f t="shared" si="795"/>
        <v>х</v>
      </c>
      <c r="BA557" s="5" t="str">
        <f t="shared" si="795"/>
        <v>х</v>
      </c>
      <c r="BB557" s="5" t="str">
        <f t="shared" si="795"/>
        <v>х</v>
      </c>
      <c r="BC557" s="5" t="str">
        <f t="shared" si="795"/>
        <v>х</v>
      </c>
      <c r="BD557" s="5" t="str">
        <f t="shared" si="795"/>
        <v>х</v>
      </c>
      <c r="BE557" s="5" t="str">
        <f t="shared" si="795"/>
        <v>х</v>
      </c>
      <c r="BF557" s="5" t="str">
        <f t="shared" si="795"/>
        <v>х</v>
      </c>
      <c r="BG557" s="5" t="str">
        <f>""</f>
        <v/>
      </c>
      <c r="BH557" s="5" t="str">
        <f>""</f>
        <v/>
      </c>
      <c r="BI557" s="5" t="str">
        <f>""</f>
        <v/>
      </c>
      <c r="BJ557" s="5" t="str">
        <f>""</f>
        <v/>
      </c>
      <c r="BK557" s="5" t="str">
        <f>""</f>
        <v/>
      </c>
      <c r="BL557" s="5" t="str">
        <f>""</f>
        <v/>
      </c>
      <c r="BM557" s="5" t="str">
        <f>""</f>
        <v/>
      </c>
      <c r="BN557" s="5" t="str">
        <f>""</f>
        <v/>
      </c>
      <c r="BO557" s="5" t="str">
        <f>""</f>
        <v/>
      </c>
      <c r="BP557" s="5" t="str">
        <f>""</f>
        <v/>
      </c>
      <c r="BQ557" s="5" t="str">
        <f>""</f>
        <v/>
      </c>
      <c r="BR557" s="5" t="str">
        <f>""</f>
        <v/>
      </c>
      <c r="BS557" s="5" t="str">
        <f>"42,00"</f>
        <v>42,00</v>
      </c>
      <c r="BT557" s="5" t="str">
        <f>"2018"</f>
        <v>2018</v>
      </c>
      <c r="BU557" s="5" t="str">
        <f t="shared" si="796"/>
        <v>нет</v>
      </c>
      <c r="BV557" s="5" t="str">
        <f t="shared" si="794"/>
        <v>x</v>
      </c>
      <c r="BW557" s="5" t="str">
        <f t="shared" si="794"/>
        <v>x</v>
      </c>
      <c r="BX557" s="5" t="str">
        <f t="shared" si="794"/>
        <v>x</v>
      </c>
      <c r="BY557" s="5" t="str">
        <f t="shared" si="792"/>
        <v>нет</v>
      </c>
      <c r="BZ557" s="5" t="str">
        <f t="shared" si="793"/>
        <v>x</v>
      </c>
      <c r="CA557" s="5" t="str">
        <f t="shared" si="793"/>
        <v>x</v>
      </c>
      <c r="CB557" s="5" t="str">
        <f t="shared" si="793"/>
        <v>x</v>
      </c>
      <c r="CC557" s="5" t="str">
        <f>""</f>
        <v/>
      </c>
      <c r="CD557" s="5" t="str">
        <f>"42,00"</f>
        <v>42,00</v>
      </c>
      <c r="CE557" s="5" t="str">
        <f>"2021"</f>
        <v>2021</v>
      </c>
      <c r="CF557" s="5" t="str">
        <f>""</f>
        <v/>
      </c>
      <c r="CG557" s="5" t="str">
        <f>"42,00"</f>
        <v>42,00</v>
      </c>
      <c r="CH557" s="5" t="str">
        <f>"2021"</f>
        <v>2021</v>
      </c>
      <c r="CI557" s="5" t="str">
        <f>"42,00"</f>
        <v>42,00</v>
      </c>
      <c r="CJ557" s="5" t="str">
        <f>"2021"</f>
        <v>2021</v>
      </c>
    </row>
    <row r="558" spans="1:88" ht="11.25" customHeight="1">
      <c r="A558" s="3" t="str">
        <f>"1.545"</f>
        <v>1.545</v>
      </c>
      <c r="B558" s="4" t="str">
        <f>"пгт. Вохтога, ул. Октябрьская, д.11"</f>
        <v>пгт. Вохтога, ул. Октябрьская, д.11</v>
      </c>
      <c r="C558" s="7" t="str">
        <f>"1936"</f>
        <v>1936</v>
      </c>
      <c r="D558" s="5" t="str">
        <f>""</f>
        <v/>
      </c>
      <c r="E558" s="5" t="str">
        <f>"55,00"</f>
        <v>55,00</v>
      </c>
      <c r="F558" s="5" t="str">
        <f>"2025"</f>
        <v>2025</v>
      </c>
      <c r="G558" s="5" t="str">
        <f t="shared" si="789"/>
        <v>нет</v>
      </c>
      <c r="H558" s="5" t="str">
        <f>""</f>
        <v/>
      </c>
      <c r="I558" s="5" t="str">
        <f>""</f>
        <v/>
      </c>
      <c r="J558" s="5" t="str">
        <f>""</f>
        <v/>
      </c>
      <c r="K558" s="5" t="str">
        <f t="shared" si="790"/>
        <v>нет</v>
      </c>
      <c r="L558" s="5" t="str">
        <f>""</f>
        <v/>
      </c>
      <c r="M558" s="5" t="str">
        <f>""</f>
        <v/>
      </c>
      <c r="N558" s="5" t="str">
        <f>""</f>
        <v/>
      </c>
      <c r="O558" s="8" t="str">
        <f>""</f>
        <v/>
      </c>
      <c r="P558" s="5" t="str">
        <f>""</f>
        <v/>
      </c>
      <c r="Q558" s="5" t="str">
        <f>""</f>
        <v/>
      </c>
      <c r="R558" s="5" t="str">
        <f>""</f>
        <v/>
      </c>
      <c r="S558" s="5" t="str">
        <f>""</f>
        <v/>
      </c>
      <c r="T558" s="5" t="str">
        <f>""</f>
        <v/>
      </c>
      <c r="U558" s="5" t="str">
        <f>""</f>
        <v/>
      </c>
      <c r="V558" s="5" t="str">
        <f>""</f>
        <v/>
      </c>
      <c r="W558" s="5" t="str">
        <f>""</f>
        <v/>
      </c>
      <c r="X558" s="5" t="str">
        <f>""</f>
        <v/>
      </c>
      <c r="Y558" s="9" t="str">
        <f>""</f>
        <v/>
      </c>
      <c r="Z558" s="5" t="str">
        <f>""</f>
        <v/>
      </c>
      <c r="AA558" s="5" t="str">
        <f>""</f>
        <v/>
      </c>
      <c r="AB558" s="5" t="str">
        <f>""</f>
        <v/>
      </c>
      <c r="AC558" s="5" t="str">
        <f>""</f>
        <v/>
      </c>
      <c r="AD558" s="5" t="str">
        <f>""</f>
        <v/>
      </c>
      <c r="AE558" s="5" t="str">
        <f>""</f>
        <v/>
      </c>
      <c r="AF558" s="5" t="str">
        <f>""</f>
        <v/>
      </c>
      <c r="AG558" s="5" t="str">
        <f>""</f>
        <v/>
      </c>
      <c r="AH558" s="5" t="str">
        <f>""</f>
        <v/>
      </c>
      <c r="AI558" s="5" t="str">
        <f>""</f>
        <v/>
      </c>
      <c r="AJ558" s="5" t="str">
        <f>""</f>
        <v/>
      </c>
      <c r="AK558" s="8" t="str">
        <f>""</f>
        <v/>
      </c>
      <c r="AL558" s="5" t="str">
        <f>"55,00"</f>
        <v>55,00</v>
      </c>
      <c r="AM558" s="5" t="str">
        <f>"2025"</f>
        <v>2025</v>
      </c>
      <c r="AN558" s="5" t="str">
        <f t="shared" si="788"/>
        <v>нет</v>
      </c>
      <c r="AO558" s="5" t="str">
        <f>""</f>
        <v/>
      </c>
      <c r="AP558" s="5" t="str">
        <f>""</f>
        <v/>
      </c>
      <c r="AQ558" s="5" t="str">
        <f>""</f>
        <v/>
      </c>
      <c r="AR558" s="5" t="str">
        <f t="shared" si="785"/>
        <v>нет</v>
      </c>
      <c r="AS558" s="5" t="str">
        <f>""</f>
        <v/>
      </c>
      <c r="AT558" s="5" t="str">
        <f>""</f>
        <v/>
      </c>
      <c r="AU558" s="5" t="str">
        <f>""</f>
        <v/>
      </c>
      <c r="AV558" s="5" t="str">
        <f t="shared" ref="AV558:BF567" si="797">"х"</f>
        <v>х</v>
      </c>
      <c r="AW558" s="5" t="str">
        <f t="shared" si="797"/>
        <v>х</v>
      </c>
      <c r="AX558" s="5" t="str">
        <f t="shared" si="797"/>
        <v>х</v>
      </c>
      <c r="AY558" s="5" t="str">
        <f t="shared" si="797"/>
        <v>х</v>
      </c>
      <c r="AZ558" s="5" t="str">
        <f t="shared" si="797"/>
        <v>х</v>
      </c>
      <c r="BA558" s="5" t="str">
        <f t="shared" si="797"/>
        <v>х</v>
      </c>
      <c r="BB558" s="5" t="str">
        <f t="shared" si="797"/>
        <v>х</v>
      </c>
      <c r="BC558" s="5" t="str">
        <f t="shared" si="797"/>
        <v>х</v>
      </c>
      <c r="BD558" s="5" t="str">
        <f t="shared" si="797"/>
        <v>х</v>
      </c>
      <c r="BE558" s="5" t="str">
        <f t="shared" si="797"/>
        <v>х</v>
      </c>
      <c r="BF558" s="5" t="str">
        <f t="shared" si="797"/>
        <v>х</v>
      </c>
      <c r="BG558" s="5" t="str">
        <f>""</f>
        <v/>
      </c>
      <c r="BH558" s="5" t="str">
        <f>""</f>
        <v/>
      </c>
      <c r="BI558" s="5" t="str">
        <f>""</f>
        <v/>
      </c>
      <c r="BJ558" s="5" t="str">
        <f>""</f>
        <v/>
      </c>
      <c r="BK558" s="5" t="str">
        <f>""</f>
        <v/>
      </c>
      <c r="BL558" s="5" t="str">
        <f>""</f>
        <v/>
      </c>
      <c r="BM558" s="5" t="str">
        <f>""</f>
        <v/>
      </c>
      <c r="BN558" s="5" t="str">
        <f>""</f>
        <v/>
      </c>
      <c r="BO558" s="5" t="str">
        <f>""</f>
        <v/>
      </c>
      <c r="BP558" s="5" t="str">
        <f>""</f>
        <v/>
      </c>
      <c r="BQ558" s="5" t="str">
        <f>""</f>
        <v/>
      </c>
      <c r="BR558" s="5" t="str">
        <f>""</f>
        <v/>
      </c>
      <c r="BS558" s="5" t="str">
        <f>"55,00"</f>
        <v>55,00</v>
      </c>
      <c r="BT558" s="5" t="str">
        <f>"2025"</f>
        <v>2025</v>
      </c>
      <c r="BU558" s="5" t="str">
        <f t="shared" si="796"/>
        <v>нет</v>
      </c>
      <c r="BV558" s="5" t="str">
        <f t="shared" si="794"/>
        <v>x</v>
      </c>
      <c r="BW558" s="5" t="str">
        <f t="shared" si="794"/>
        <v>x</v>
      </c>
      <c r="BX558" s="5" t="str">
        <f t="shared" si="794"/>
        <v>x</v>
      </c>
      <c r="BY558" s="5" t="str">
        <f t="shared" si="792"/>
        <v>нет</v>
      </c>
      <c r="BZ558" s="5" t="str">
        <f t="shared" ref="BZ558:CB577" si="798">"x"</f>
        <v>x</v>
      </c>
      <c r="CA558" s="5" t="str">
        <f t="shared" si="798"/>
        <v>x</v>
      </c>
      <c r="CB558" s="5" t="str">
        <f t="shared" si="798"/>
        <v>x</v>
      </c>
      <c r="CC558" s="5" t="str">
        <f>""</f>
        <v/>
      </c>
      <c r="CD558" s="5" t="str">
        <f>"55,00"</f>
        <v>55,00</v>
      </c>
      <c r="CE558" s="5" t="str">
        <f>"2025"</f>
        <v>2025</v>
      </c>
      <c r="CF558" s="5" t="str">
        <f>""</f>
        <v/>
      </c>
      <c r="CG558" s="5" t="str">
        <f>"55,00"</f>
        <v>55,00</v>
      </c>
      <c r="CH558" s="5" t="str">
        <f>"2025"</f>
        <v>2025</v>
      </c>
      <c r="CI558" s="5" t="str">
        <f>"55,00"</f>
        <v>55,00</v>
      </c>
      <c r="CJ558" s="5" t="str">
        <f>"2025"</f>
        <v>2025</v>
      </c>
    </row>
    <row r="559" spans="1:88" ht="11.25" customHeight="1">
      <c r="A559" s="3" t="str">
        <f>"1.546"</f>
        <v>1.546</v>
      </c>
      <c r="B559" s="4" t="str">
        <f>"пгт. Вохтога, ул. Октябрьская, д.14"</f>
        <v>пгт. Вохтога, ул. Октябрьская, д.14</v>
      </c>
      <c r="C559" s="7" t="str">
        <f>"1990"</f>
        <v>1990</v>
      </c>
      <c r="D559" s="5" t="str">
        <f>""</f>
        <v/>
      </c>
      <c r="E559" s="5" t="str">
        <f>"41,00"</f>
        <v>41,00</v>
      </c>
      <c r="F559" s="5" t="str">
        <f>"2030"</f>
        <v>2030</v>
      </c>
      <c r="G559" s="5" t="str">
        <f t="shared" si="789"/>
        <v>нет</v>
      </c>
      <c r="H559" s="5" t="str">
        <f>""</f>
        <v/>
      </c>
      <c r="I559" s="5" t="str">
        <f>""</f>
        <v/>
      </c>
      <c r="J559" s="5" t="str">
        <f>""</f>
        <v/>
      </c>
      <c r="K559" s="5" t="str">
        <f t="shared" si="790"/>
        <v>нет</v>
      </c>
      <c r="L559" s="5" t="str">
        <f>""</f>
        <v/>
      </c>
      <c r="M559" s="5" t="str">
        <f>""</f>
        <v/>
      </c>
      <c r="N559" s="5" t="str">
        <f>""</f>
        <v/>
      </c>
      <c r="O559" s="8" t="str">
        <f>""</f>
        <v/>
      </c>
      <c r="P559" s="5" t="str">
        <f>""</f>
        <v/>
      </c>
      <c r="Q559" s="5" t="str">
        <f>""</f>
        <v/>
      </c>
      <c r="R559" s="5" t="str">
        <f>""</f>
        <v/>
      </c>
      <c r="S559" s="5" t="str">
        <f>""</f>
        <v/>
      </c>
      <c r="T559" s="5" t="str">
        <f>""</f>
        <v/>
      </c>
      <c r="U559" s="5" t="str">
        <f>""</f>
        <v/>
      </c>
      <c r="V559" s="5" t="str">
        <f>""</f>
        <v/>
      </c>
      <c r="W559" s="5" t="str">
        <f>""</f>
        <v/>
      </c>
      <c r="X559" s="5" t="str">
        <f>""</f>
        <v/>
      </c>
      <c r="Y559" s="9" t="str">
        <f>""</f>
        <v/>
      </c>
      <c r="Z559" s="5" t="str">
        <f>""</f>
        <v/>
      </c>
      <c r="AA559" s="5" t="str">
        <f>""</f>
        <v/>
      </c>
      <c r="AB559" s="5" t="str">
        <f>""</f>
        <v/>
      </c>
      <c r="AC559" s="5" t="str">
        <f>""</f>
        <v/>
      </c>
      <c r="AD559" s="5" t="str">
        <f>""</f>
        <v/>
      </c>
      <c r="AE559" s="5" t="str">
        <f>""</f>
        <v/>
      </c>
      <c r="AF559" s="5" t="str">
        <f>""</f>
        <v/>
      </c>
      <c r="AG559" s="5" t="str">
        <f>""</f>
        <v/>
      </c>
      <c r="AH559" s="5" t="str">
        <f>""</f>
        <v/>
      </c>
      <c r="AI559" s="5" t="str">
        <f>""</f>
        <v/>
      </c>
      <c r="AJ559" s="5" t="str">
        <f>""</f>
        <v/>
      </c>
      <c r="AK559" s="8" t="str">
        <f>""</f>
        <v/>
      </c>
      <c r="AL559" s="5" t="str">
        <f>"41,00"</f>
        <v>41,00</v>
      </c>
      <c r="AM559" s="5" t="str">
        <f>"2030"</f>
        <v>2030</v>
      </c>
      <c r="AN559" s="5" t="str">
        <f t="shared" si="788"/>
        <v>нет</v>
      </c>
      <c r="AO559" s="5" t="str">
        <f>""</f>
        <v/>
      </c>
      <c r="AP559" s="5" t="str">
        <f>""</f>
        <v/>
      </c>
      <c r="AQ559" s="5" t="str">
        <f>""</f>
        <v/>
      </c>
      <c r="AR559" s="5" t="str">
        <f t="shared" si="785"/>
        <v>нет</v>
      </c>
      <c r="AS559" s="5" t="str">
        <f>""</f>
        <v/>
      </c>
      <c r="AT559" s="5" t="str">
        <f>""</f>
        <v/>
      </c>
      <c r="AU559" s="5" t="str">
        <f>""</f>
        <v/>
      </c>
      <c r="AV559" s="5" t="str">
        <f t="shared" si="797"/>
        <v>х</v>
      </c>
      <c r="AW559" s="5" t="str">
        <f t="shared" si="797"/>
        <v>х</v>
      </c>
      <c r="AX559" s="5" t="str">
        <f t="shared" si="797"/>
        <v>х</v>
      </c>
      <c r="AY559" s="5" t="str">
        <f t="shared" si="797"/>
        <v>х</v>
      </c>
      <c r="AZ559" s="5" t="str">
        <f t="shared" si="797"/>
        <v>х</v>
      </c>
      <c r="BA559" s="5" t="str">
        <f t="shared" si="797"/>
        <v>х</v>
      </c>
      <c r="BB559" s="5" t="str">
        <f t="shared" si="797"/>
        <v>х</v>
      </c>
      <c r="BC559" s="5" t="str">
        <f t="shared" si="797"/>
        <v>х</v>
      </c>
      <c r="BD559" s="5" t="str">
        <f t="shared" si="797"/>
        <v>х</v>
      </c>
      <c r="BE559" s="5" t="str">
        <f t="shared" si="797"/>
        <v>х</v>
      </c>
      <c r="BF559" s="5" t="str">
        <f t="shared" si="797"/>
        <v>х</v>
      </c>
      <c r="BG559" s="5" t="str">
        <f>""</f>
        <v/>
      </c>
      <c r="BH559" s="5" t="str">
        <f>""</f>
        <v/>
      </c>
      <c r="BI559" s="5" t="str">
        <f>""</f>
        <v/>
      </c>
      <c r="BJ559" s="5" t="str">
        <f>""</f>
        <v/>
      </c>
      <c r="BK559" s="5" t="str">
        <f>""</f>
        <v/>
      </c>
      <c r="BL559" s="5" t="str">
        <f>""</f>
        <v/>
      </c>
      <c r="BM559" s="5" t="str">
        <f>""</f>
        <v/>
      </c>
      <c r="BN559" s="5" t="str">
        <f>""</f>
        <v/>
      </c>
      <c r="BO559" s="5" t="str">
        <f>""</f>
        <v/>
      </c>
      <c r="BP559" s="5" t="str">
        <f>""</f>
        <v/>
      </c>
      <c r="BQ559" s="5" t="str">
        <f>""</f>
        <v/>
      </c>
      <c r="BR559" s="5" t="str">
        <f>""</f>
        <v/>
      </c>
      <c r="BS559" s="5" t="str">
        <f>"41,00"</f>
        <v>41,00</v>
      </c>
      <c r="BT559" s="5" t="str">
        <f>"2030"</f>
        <v>2030</v>
      </c>
      <c r="BU559" s="5" t="str">
        <f t="shared" si="796"/>
        <v>нет</v>
      </c>
      <c r="BV559" s="5" t="str">
        <f t="shared" si="794"/>
        <v>x</v>
      </c>
      <c r="BW559" s="5" t="str">
        <f t="shared" si="794"/>
        <v>x</v>
      </c>
      <c r="BX559" s="5" t="str">
        <f t="shared" si="794"/>
        <v>x</v>
      </c>
      <c r="BY559" s="5" t="str">
        <f t="shared" si="792"/>
        <v>нет</v>
      </c>
      <c r="BZ559" s="5" t="str">
        <f t="shared" si="798"/>
        <v>x</v>
      </c>
      <c r="CA559" s="5" t="str">
        <f t="shared" si="798"/>
        <v>x</v>
      </c>
      <c r="CB559" s="5" t="str">
        <f t="shared" si="798"/>
        <v>x</v>
      </c>
      <c r="CC559" s="5" t="str">
        <f>""</f>
        <v/>
      </c>
      <c r="CD559" s="5" t="str">
        <f>"41,00"</f>
        <v>41,00</v>
      </c>
      <c r="CE559" s="5" t="str">
        <f>"2030"</f>
        <v>2030</v>
      </c>
      <c r="CF559" s="5" t="str">
        <f>""</f>
        <v/>
      </c>
      <c r="CG559" s="5" t="str">
        <f>"41,00"</f>
        <v>41,00</v>
      </c>
      <c r="CH559" s="5" t="str">
        <f>"2030"</f>
        <v>2030</v>
      </c>
      <c r="CI559" s="5" t="str">
        <f>"41,00"</f>
        <v>41,00</v>
      </c>
      <c r="CJ559" s="5" t="str">
        <f>"2030"</f>
        <v>2030</v>
      </c>
    </row>
    <row r="560" spans="1:88" ht="11.25" customHeight="1">
      <c r="A560" s="3" t="str">
        <f>"1.547"</f>
        <v>1.547</v>
      </c>
      <c r="B560" s="4" t="str">
        <f>"пгт. Вохтога, ул. Октябрьская, д.17"</f>
        <v>пгт. Вохтога, ул. Октябрьская, д.17</v>
      </c>
      <c r="C560" s="7" t="str">
        <f>"1936"</f>
        <v>1936</v>
      </c>
      <c r="D560" s="5" t="str">
        <f>""</f>
        <v/>
      </c>
      <c r="E560" s="5" t="str">
        <f>"45,00"</f>
        <v>45,00</v>
      </c>
      <c r="F560" s="5" t="str">
        <f>"2021"</f>
        <v>2021</v>
      </c>
      <c r="G560" s="5" t="str">
        <f t="shared" si="789"/>
        <v>нет</v>
      </c>
      <c r="H560" s="5" t="str">
        <f>""</f>
        <v/>
      </c>
      <c r="I560" s="5" t="str">
        <f>""</f>
        <v/>
      </c>
      <c r="J560" s="5" t="str">
        <f>""</f>
        <v/>
      </c>
      <c r="K560" s="5" t="str">
        <f t="shared" si="790"/>
        <v>нет</v>
      </c>
      <c r="L560" s="5" t="str">
        <f>""</f>
        <v/>
      </c>
      <c r="M560" s="5" t="str">
        <f>""</f>
        <v/>
      </c>
      <c r="N560" s="5" t="str">
        <f>""</f>
        <v/>
      </c>
      <c r="O560" s="8" t="str">
        <f>""</f>
        <v/>
      </c>
      <c r="P560" s="5" t="str">
        <f>""</f>
        <v/>
      </c>
      <c r="Q560" s="5" t="str">
        <f>""</f>
        <v/>
      </c>
      <c r="R560" s="5" t="str">
        <f>""</f>
        <v/>
      </c>
      <c r="S560" s="5" t="str">
        <f>""</f>
        <v/>
      </c>
      <c r="T560" s="5" t="str">
        <f>""</f>
        <v/>
      </c>
      <c r="U560" s="5" t="str">
        <f>""</f>
        <v/>
      </c>
      <c r="V560" s="5" t="str">
        <f>""</f>
        <v/>
      </c>
      <c r="W560" s="5" t="str">
        <f>""</f>
        <v/>
      </c>
      <c r="X560" s="5" t="str">
        <f>""</f>
        <v/>
      </c>
      <c r="Y560" s="9" t="str">
        <f>""</f>
        <v/>
      </c>
      <c r="Z560" s="5" t="str">
        <f>""</f>
        <v/>
      </c>
      <c r="AA560" s="5" t="str">
        <f>""</f>
        <v/>
      </c>
      <c r="AB560" s="5" t="str">
        <f>""</f>
        <v/>
      </c>
      <c r="AC560" s="5" t="str">
        <f>""</f>
        <v/>
      </c>
      <c r="AD560" s="5" t="str">
        <f>""</f>
        <v/>
      </c>
      <c r="AE560" s="5" t="str">
        <f>""</f>
        <v/>
      </c>
      <c r="AF560" s="5" t="str">
        <f>""</f>
        <v/>
      </c>
      <c r="AG560" s="5" t="str">
        <f>""</f>
        <v/>
      </c>
      <c r="AH560" s="5" t="str">
        <f>""</f>
        <v/>
      </c>
      <c r="AI560" s="5" t="str">
        <f>""</f>
        <v/>
      </c>
      <c r="AJ560" s="5" t="str">
        <f>""</f>
        <v/>
      </c>
      <c r="AK560" s="8" t="str">
        <f>""</f>
        <v/>
      </c>
      <c r="AL560" s="5" t="str">
        <f>"45,00"</f>
        <v>45,00</v>
      </c>
      <c r="AM560" s="5" t="str">
        <f>"2021"</f>
        <v>2021</v>
      </c>
      <c r="AN560" s="5" t="str">
        <f t="shared" si="788"/>
        <v>нет</v>
      </c>
      <c r="AO560" s="5" t="str">
        <f>""</f>
        <v/>
      </c>
      <c r="AP560" s="5" t="str">
        <f>""</f>
        <v/>
      </c>
      <c r="AQ560" s="5" t="str">
        <f>""</f>
        <v/>
      </c>
      <c r="AR560" s="5" t="str">
        <f t="shared" si="785"/>
        <v>нет</v>
      </c>
      <c r="AS560" s="5" t="str">
        <f>""</f>
        <v/>
      </c>
      <c r="AT560" s="5" t="str">
        <f>""</f>
        <v/>
      </c>
      <c r="AU560" s="5" t="str">
        <f>""</f>
        <v/>
      </c>
      <c r="AV560" s="5" t="str">
        <f t="shared" si="797"/>
        <v>х</v>
      </c>
      <c r="AW560" s="5" t="str">
        <f t="shared" si="797"/>
        <v>х</v>
      </c>
      <c r="AX560" s="5" t="str">
        <f t="shared" si="797"/>
        <v>х</v>
      </c>
      <c r="AY560" s="5" t="str">
        <f t="shared" si="797"/>
        <v>х</v>
      </c>
      <c r="AZ560" s="5" t="str">
        <f t="shared" si="797"/>
        <v>х</v>
      </c>
      <c r="BA560" s="5" t="str">
        <f t="shared" si="797"/>
        <v>х</v>
      </c>
      <c r="BB560" s="5" t="str">
        <f t="shared" si="797"/>
        <v>х</v>
      </c>
      <c r="BC560" s="5" t="str">
        <f t="shared" si="797"/>
        <v>х</v>
      </c>
      <c r="BD560" s="5" t="str">
        <f t="shared" si="797"/>
        <v>х</v>
      </c>
      <c r="BE560" s="5" t="str">
        <f t="shared" si="797"/>
        <v>х</v>
      </c>
      <c r="BF560" s="5" t="str">
        <f t="shared" si="797"/>
        <v>х</v>
      </c>
      <c r="BG560" s="5" t="str">
        <f>""</f>
        <v/>
      </c>
      <c r="BH560" s="5" t="str">
        <f>""</f>
        <v/>
      </c>
      <c r="BI560" s="5" t="str">
        <f>""</f>
        <v/>
      </c>
      <c r="BJ560" s="5" t="str">
        <f>""</f>
        <v/>
      </c>
      <c r="BK560" s="5" t="str">
        <f>""</f>
        <v/>
      </c>
      <c r="BL560" s="5" t="str">
        <f>""</f>
        <v/>
      </c>
      <c r="BM560" s="5" t="str">
        <f>""</f>
        <v/>
      </c>
      <c r="BN560" s="5" t="str">
        <f>""</f>
        <v/>
      </c>
      <c r="BO560" s="5" t="str">
        <f>""</f>
        <v/>
      </c>
      <c r="BP560" s="5" t="str">
        <f>""</f>
        <v/>
      </c>
      <c r="BQ560" s="5" t="str">
        <f>""</f>
        <v/>
      </c>
      <c r="BR560" s="5" t="str">
        <f>""</f>
        <v/>
      </c>
      <c r="BS560" s="5" t="str">
        <f>"45,00"</f>
        <v>45,00</v>
      </c>
      <c r="BT560" s="5" t="str">
        <f>"2017"</f>
        <v>2017</v>
      </c>
      <c r="BU560" s="5" t="str">
        <f t="shared" si="796"/>
        <v>нет</v>
      </c>
      <c r="BV560" s="5" t="str">
        <f t="shared" ref="BV560:BX579" si="799">"x"</f>
        <v>x</v>
      </c>
      <c r="BW560" s="5" t="str">
        <f t="shared" si="799"/>
        <v>x</v>
      </c>
      <c r="BX560" s="5" t="str">
        <f t="shared" si="799"/>
        <v>x</v>
      </c>
      <c r="BY560" s="5" t="str">
        <f t="shared" si="792"/>
        <v>нет</v>
      </c>
      <c r="BZ560" s="5" t="str">
        <f t="shared" si="798"/>
        <v>x</v>
      </c>
      <c r="CA560" s="5" t="str">
        <f t="shared" si="798"/>
        <v>x</v>
      </c>
      <c r="CB560" s="5" t="str">
        <f t="shared" si="798"/>
        <v>x</v>
      </c>
      <c r="CC560" s="5" t="str">
        <f>""</f>
        <v/>
      </c>
      <c r="CD560" s="5" t="str">
        <f>"45,00"</f>
        <v>45,00</v>
      </c>
      <c r="CE560" s="5" t="str">
        <f>"2021"</f>
        <v>2021</v>
      </c>
      <c r="CF560" s="5" t="str">
        <f>""</f>
        <v/>
      </c>
      <c r="CG560" s="5" t="str">
        <f>"45,00"</f>
        <v>45,00</v>
      </c>
      <c r="CH560" s="5" t="str">
        <f>"2021"</f>
        <v>2021</v>
      </c>
      <c r="CI560" s="5" t="str">
        <f>"45,00"</f>
        <v>45,00</v>
      </c>
      <c r="CJ560" s="5" t="str">
        <f>"2021"</f>
        <v>2021</v>
      </c>
    </row>
    <row r="561" spans="1:88" ht="11.25" customHeight="1">
      <c r="A561" s="3" t="str">
        <f>"1.548"</f>
        <v>1.548</v>
      </c>
      <c r="B561" s="4" t="str">
        <f>"пгт. Вохтога, ул. Октябрьская, д.4"</f>
        <v>пгт. Вохтога, ул. Октябрьская, д.4</v>
      </c>
      <c r="C561" s="7" t="str">
        <f>"1988"</f>
        <v>1988</v>
      </c>
      <c r="D561" s="5" t="str">
        <f>""</f>
        <v/>
      </c>
      <c r="E561" s="5" t="str">
        <f>"5,00"</f>
        <v>5,00</v>
      </c>
      <c r="F561" s="5" t="str">
        <f>"2028"</f>
        <v>2028</v>
      </c>
      <c r="G561" s="5" t="str">
        <f t="shared" si="789"/>
        <v>нет</v>
      </c>
      <c r="H561" s="5" t="str">
        <f>""</f>
        <v/>
      </c>
      <c r="I561" s="5" t="str">
        <f>""</f>
        <v/>
      </c>
      <c r="J561" s="5" t="str">
        <f>""</f>
        <v/>
      </c>
      <c r="K561" s="5" t="str">
        <f t="shared" si="790"/>
        <v>нет</v>
      </c>
      <c r="L561" s="5" t="str">
        <f>""</f>
        <v/>
      </c>
      <c r="M561" s="5" t="str">
        <f>""</f>
        <v/>
      </c>
      <c r="N561" s="5" t="str">
        <f>""</f>
        <v/>
      </c>
      <c r="O561" s="8" t="str">
        <f>""</f>
        <v/>
      </c>
      <c r="P561" s="5" t="str">
        <f>""</f>
        <v/>
      </c>
      <c r="Q561" s="5" t="str">
        <f>""</f>
        <v/>
      </c>
      <c r="R561" s="5" t="str">
        <f>""</f>
        <v/>
      </c>
      <c r="S561" s="5" t="str">
        <f>""</f>
        <v/>
      </c>
      <c r="T561" s="5" t="str">
        <f>""</f>
        <v/>
      </c>
      <c r="U561" s="5" t="str">
        <f>""</f>
        <v/>
      </c>
      <c r="V561" s="5" t="str">
        <f>""</f>
        <v/>
      </c>
      <c r="W561" s="5" t="str">
        <f>""</f>
        <v/>
      </c>
      <c r="X561" s="5" t="str">
        <f>""</f>
        <v/>
      </c>
      <c r="Y561" s="9" t="str">
        <f>""</f>
        <v/>
      </c>
      <c r="Z561" s="5" t="str">
        <f>""</f>
        <v/>
      </c>
      <c r="AA561" s="5" t="str">
        <f>""</f>
        <v/>
      </c>
      <c r="AB561" s="5" t="str">
        <f>""</f>
        <v/>
      </c>
      <c r="AC561" s="5" t="str">
        <f>""</f>
        <v/>
      </c>
      <c r="AD561" s="5" t="str">
        <f>""</f>
        <v/>
      </c>
      <c r="AE561" s="5" t="str">
        <f>""</f>
        <v/>
      </c>
      <c r="AF561" s="5" t="str">
        <f>""</f>
        <v/>
      </c>
      <c r="AG561" s="5" t="str">
        <f>""</f>
        <v/>
      </c>
      <c r="AH561" s="5" t="str">
        <f>""</f>
        <v/>
      </c>
      <c r="AI561" s="5" t="str">
        <f>""</f>
        <v/>
      </c>
      <c r="AJ561" s="5" t="str">
        <f>""</f>
        <v/>
      </c>
      <c r="AK561" s="8" t="str">
        <f>""</f>
        <v/>
      </c>
      <c r="AL561" s="5" t="str">
        <f>"5,00"</f>
        <v>5,00</v>
      </c>
      <c r="AM561" s="5" t="str">
        <f>"2028"</f>
        <v>2028</v>
      </c>
      <c r="AN561" s="5" t="str">
        <f t="shared" si="788"/>
        <v>нет</v>
      </c>
      <c r="AO561" s="5" t="str">
        <f>""</f>
        <v/>
      </c>
      <c r="AP561" s="5" t="str">
        <f>""</f>
        <v/>
      </c>
      <c r="AQ561" s="5" t="str">
        <f>""</f>
        <v/>
      </c>
      <c r="AR561" s="5" t="str">
        <f t="shared" si="785"/>
        <v>нет</v>
      </c>
      <c r="AS561" s="5" t="str">
        <f>""</f>
        <v/>
      </c>
      <c r="AT561" s="5" t="str">
        <f>""</f>
        <v/>
      </c>
      <c r="AU561" s="5" t="str">
        <f>""</f>
        <v/>
      </c>
      <c r="AV561" s="5" t="str">
        <f t="shared" si="797"/>
        <v>х</v>
      </c>
      <c r="AW561" s="5" t="str">
        <f t="shared" si="797"/>
        <v>х</v>
      </c>
      <c r="AX561" s="5" t="str">
        <f t="shared" si="797"/>
        <v>х</v>
      </c>
      <c r="AY561" s="5" t="str">
        <f t="shared" si="797"/>
        <v>х</v>
      </c>
      <c r="AZ561" s="5" t="str">
        <f t="shared" si="797"/>
        <v>х</v>
      </c>
      <c r="BA561" s="5" t="str">
        <f t="shared" si="797"/>
        <v>х</v>
      </c>
      <c r="BB561" s="5" t="str">
        <f t="shared" si="797"/>
        <v>х</v>
      </c>
      <c r="BC561" s="5" t="str">
        <f t="shared" si="797"/>
        <v>х</v>
      </c>
      <c r="BD561" s="5" t="str">
        <f t="shared" si="797"/>
        <v>х</v>
      </c>
      <c r="BE561" s="5" t="str">
        <f t="shared" si="797"/>
        <v>х</v>
      </c>
      <c r="BF561" s="5" t="str">
        <f t="shared" si="797"/>
        <v>х</v>
      </c>
      <c r="BG561" s="5" t="str">
        <f>""</f>
        <v/>
      </c>
      <c r="BH561" s="5" t="str">
        <f>""</f>
        <v/>
      </c>
      <c r="BI561" s="5" t="str">
        <f>""</f>
        <v/>
      </c>
      <c r="BJ561" s="5" t="str">
        <f>""</f>
        <v/>
      </c>
      <c r="BK561" s="5" t="str">
        <f>""</f>
        <v/>
      </c>
      <c r="BL561" s="5" t="str">
        <f>""</f>
        <v/>
      </c>
      <c r="BM561" s="5" t="str">
        <f>""</f>
        <v/>
      </c>
      <c r="BN561" s="5" t="str">
        <f>""</f>
        <v/>
      </c>
      <c r="BO561" s="5" t="str">
        <f>""</f>
        <v/>
      </c>
      <c r="BP561" s="5" t="str">
        <f>""</f>
        <v/>
      </c>
      <c r="BQ561" s="5" t="str">
        <f>""</f>
        <v/>
      </c>
      <c r="BR561" s="5" t="str">
        <f>""</f>
        <v/>
      </c>
      <c r="BS561" s="5" t="str">
        <f>"5,00"</f>
        <v>5,00</v>
      </c>
      <c r="BT561" s="5" t="str">
        <f>"2028"</f>
        <v>2028</v>
      </c>
      <c r="BU561" s="5" t="str">
        <f t="shared" si="796"/>
        <v>нет</v>
      </c>
      <c r="BV561" s="5" t="str">
        <f t="shared" si="799"/>
        <v>x</v>
      </c>
      <c r="BW561" s="5" t="str">
        <f t="shared" si="799"/>
        <v>x</v>
      </c>
      <c r="BX561" s="5" t="str">
        <f t="shared" si="799"/>
        <v>x</v>
      </c>
      <c r="BY561" s="5" t="str">
        <f t="shared" si="792"/>
        <v>нет</v>
      </c>
      <c r="BZ561" s="5" t="str">
        <f t="shared" si="798"/>
        <v>x</v>
      </c>
      <c r="CA561" s="5" t="str">
        <f t="shared" si="798"/>
        <v>x</v>
      </c>
      <c r="CB561" s="5" t="str">
        <f t="shared" si="798"/>
        <v>x</v>
      </c>
      <c r="CC561" s="5" t="str">
        <f>""</f>
        <v/>
      </c>
      <c r="CD561" s="5" t="str">
        <f>"5,00"</f>
        <v>5,00</v>
      </c>
      <c r="CE561" s="5" t="str">
        <f>"2028"</f>
        <v>2028</v>
      </c>
      <c r="CF561" s="5" t="str">
        <f>""</f>
        <v/>
      </c>
      <c r="CG561" s="5" t="str">
        <f>"5,00"</f>
        <v>5,00</v>
      </c>
      <c r="CH561" s="5" t="str">
        <f>"2028"</f>
        <v>2028</v>
      </c>
      <c r="CI561" s="5" t="str">
        <f>"5,00"</f>
        <v>5,00</v>
      </c>
      <c r="CJ561" s="5" t="str">
        <f>"2028"</f>
        <v>2028</v>
      </c>
    </row>
    <row r="562" spans="1:88" ht="11.25" customHeight="1">
      <c r="A562" s="3" t="str">
        <f>"1.549"</f>
        <v>1.549</v>
      </c>
      <c r="B562" s="4" t="str">
        <f>"пгт. Вохтога, ул. Октябрьская, д.55"</f>
        <v>пгт. Вохтога, ул. Октябрьская, д.55</v>
      </c>
      <c r="C562" s="7" t="str">
        <f>"1955"</f>
        <v>1955</v>
      </c>
      <c r="D562" s="5" t="str">
        <f>""</f>
        <v/>
      </c>
      <c r="E562" s="5" t="str">
        <f>"46,00"</f>
        <v>46,00</v>
      </c>
      <c r="F562" s="5" t="str">
        <f>"2028"</f>
        <v>2028</v>
      </c>
      <c r="G562" s="5" t="str">
        <f t="shared" si="789"/>
        <v>нет</v>
      </c>
      <c r="H562" s="5" t="str">
        <f>""</f>
        <v/>
      </c>
      <c r="I562" s="5" t="str">
        <f>""</f>
        <v/>
      </c>
      <c r="J562" s="5" t="str">
        <f>""</f>
        <v/>
      </c>
      <c r="K562" s="5" t="str">
        <f t="shared" si="790"/>
        <v>нет</v>
      </c>
      <c r="L562" s="5" t="str">
        <f>""</f>
        <v/>
      </c>
      <c r="M562" s="5" t="str">
        <f>""</f>
        <v/>
      </c>
      <c r="N562" s="5" t="str">
        <f>""</f>
        <v/>
      </c>
      <c r="O562" s="8" t="str">
        <f>""</f>
        <v/>
      </c>
      <c r="P562" s="5" t="str">
        <f>""</f>
        <v/>
      </c>
      <c r="Q562" s="5" t="str">
        <f>""</f>
        <v/>
      </c>
      <c r="R562" s="5" t="str">
        <f>""</f>
        <v/>
      </c>
      <c r="S562" s="5" t="str">
        <f>""</f>
        <v/>
      </c>
      <c r="T562" s="5" t="str">
        <f>""</f>
        <v/>
      </c>
      <c r="U562" s="5" t="str">
        <f>""</f>
        <v/>
      </c>
      <c r="V562" s="5" t="str">
        <f>""</f>
        <v/>
      </c>
      <c r="W562" s="5" t="str">
        <f>""</f>
        <v/>
      </c>
      <c r="X562" s="5" t="str">
        <f>""</f>
        <v/>
      </c>
      <c r="Y562" s="9" t="str">
        <f>""</f>
        <v/>
      </c>
      <c r="Z562" s="5" t="str">
        <f>""</f>
        <v/>
      </c>
      <c r="AA562" s="5" t="str">
        <f>""</f>
        <v/>
      </c>
      <c r="AB562" s="5" t="str">
        <f>""</f>
        <v/>
      </c>
      <c r="AC562" s="5" t="str">
        <f>""</f>
        <v/>
      </c>
      <c r="AD562" s="5" t="str">
        <f>""</f>
        <v/>
      </c>
      <c r="AE562" s="5" t="str">
        <f>""</f>
        <v/>
      </c>
      <c r="AF562" s="5" t="str">
        <f>""</f>
        <v/>
      </c>
      <c r="AG562" s="5" t="str">
        <f>""</f>
        <v/>
      </c>
      <c r="AH562" s="5" t="str">
        <f>""</f>
        <v/>
      </c>
      <c r="AI562" s="5" t="str">
        <f>""</f>
        <v/>
      </c>
      <c r="AJ562" s="5" t="str">
        <f>""</f>
        <v/>
      </c>
      <c r="AK562" s="8" t="str">
        <f>""</f>
        <v/>
      </c>
      <c r="AL562" s="5" t="str">
        <f>"46,00"</f>
        <v>46,00</v>
      </c>
      <c r="AM562" s="5" t="str">
        <f>"2028"</f>
        <v>2028</v>
      </c>
      <c r="AN562" s="5" t="str">
        <f t="shared" si="788"/>
        <v>нет</v>
      </c>
      <c r="AO562" s="5" t="str">
        <f>""</f>
        <v/>
      </c>
      <c r="AP562" s="5" t="str">
        <f>""</f>
        <v/>
      </c>
      <c r="AQ562" s="5" t="str">
        <f>""</f>
        <v/>
      </c>
      <c r="AR562" s="5" t="str">
        <f t="shared" si="785"/>
        <v>нет</v>
      </c>
      <c r="AS562" s="5" t="str">
        <f>""</f>
        <v/>
      </c>
      <c r="AT562" s="5" t="str">
        <f>""</f>
        <v/>
      </c>
      <c r="AU562" s="5" t="str">
        <f>""</f>
        <v/>
      </c>
      <c r="AV562" s="5" t="str">
        <f t="shared" si="797"/>
        <v>х</v>
      </c>
      <c r="AW562" s="5" t="str">
        <f t="shared" si="797"/>
        <v>х</v>
      </c>
      <c r="AX562" s="5" t="str">
        <f t="shared" si="797"/>
        <v>х</v>
      </c>
      <c r="AY562" s="5" t="str">
        <f t="shared" si="797"/>
        <v>х</v>
      </c>
      <c r="AZ562" s="5" t="str">
        <f t="shared" si="797"/>
        <v>х</v>
      </c>
      <c r="BA562" s="5" t="str">
        <f t="shared" si="797"/>
        <v>х</v>
      </c>
      <c r="BB562" s="5" t="str">
        <f t="shared" si="797"/>
        <v>х</v>
      </c>
      <c r="BC562" s="5" t="str">
        <f t="shared" si="797"/>
        <v>х</v>
      </c>
      <c r="BD562" s="5" t="str">
        <f t="shared" si="797"/>
        <v>х</v>
      </c>
      <c r="BE562" s="5" t="str">
        <f t="shared" si="797"/>
        <v>х</v>
      </c>
      <c r="BF562" s="5" t="str">
        <f t="shared" si="797"/>
        <v>х</v>
      </c>
      <c r="BG562" s="5" t="str">
        <f>""</f>
        <v/>
      </c>
      <c r="BH562" s="5" t="str">
        <f>""</f>
        <v/>
      </c>
      <c r="BI562" s="5" t="str">
        <f>""</f>
        <v/>
      </c>
      <c r="BJ562" s="5" t="str">
        <f>""</f>
        <v/>
      </c>
      <c r="BK562" s="5" t="str">
        <f>""</f>
        <v/>
      </c>
      <c r="BL562" s="5" t="str">
        <f>""</f>
        <v/>
      </c>
      <c r="BM562" s="5" t="str">
        <f>""</f>
        <v/>
      </c>
      <c r="BN562" s="5" t="str">
        <f>""</f>
        <v/>
      </c>
      <c r="BO562" s="5" t="str">
        <f>""</f>
        <v/>
      </c>
      <c r="BP562" s="5" t="str">
        <f>""</f>
        <v/>
      </c>
      <c r="BQ562" s="5" t="str">
        <f>""</f>
        <v/>
      </c>
      <c r="BR562" s="5" t="str">
        <f>""</f>
        <v/>
      </c>
      <c r="BS562" s="5" t="str">
        <f>"46,00"</f>
        <v>46,00</v>
      </c>
      <c r="BT562" s="5" t="str">
        <f>"2028"</f>
        <v>2028</v>
      </c>
      <c r="BU562" s="5" t="str">
        <f t="shared" si="796"/>
        <v>нет</v>
      </c>
      <c r="BV562" s="5" t="str">
        <f t="shared" si="799"/>
        <v>x</v>
      </c>
      <c r="BW562" s="5" t="str">
        <f t="shared" si="799"/>
        <v>x</v>
      </c>
      <c r="BX562" s="5" t="str">
        <f t="shared" si="799"/>
        <v>x</v>
      </c>
      <c r="BY562" s="5" t="str">
        <f t="shared" si="792"/>
        <v>нет</v>
      </c>
      <c r="BZ562" s="5" t="str">
        <f t="shared" si="798"/>
        <v>x</v>
      </c>
      <c r="CA562" s="5" t="str">
        <f t="shared" si="798"/>
        <v>x</v>
      </c>
      <c r="CB562" s="5" t="str">
        <f t="shared" si="798"/>
        <v>x</v>
      </c>
      <c r="CC562" s="5" t="str">
        <f>""</f>
        <v/>
      </c>
      <c r="CD562" s="5" t="str">
        <f>"46,00"</f>
        <v>46,00</v>
      </c>
      <c r="CE562" s="5" t="str">
        <f>"2028"</f>
        <v>2028</v>
      </c>
      <c r="CF562" s="5" t="str">
        <f>""</f>
        <v/>
      </c>
      <c r="CG562" s="5" t="str">
        <f>"46,00"</f>
        <v>46,00</v>
      </c>
      <c r="CH562" s="5" t="str">
        <f>"2028"</f>
        <v>2028</v>
      </c>
      <c r="CI562" s="5" t="str">
        <f>"46,00"</f>
        <v>46,00</v>
      </c>
      <c r="CJ562" s="5" t="str">
        <f>"2028"</f>
        <v>2028</v>
      </c>
    </row>
    <row r="563" spans="1:88" ht="11.25" customHeight="1">
      <c r="A563" s="3" t="str">
        <f>"1.550"</f>
        <v>1.550</v>
      </c>
      <c r="B563" s="4" t="str">
        <f>"пгт. Вохтога, ул. Ольховая, д.6"</f>
        <v>пгт. Вохтога, ул. Ольховая, д.6</v>
      </c>
      <c r="C563" s="7" t="str">
        <f>"1987"</f>
        <v>1987</v>
      </c>
      <c r="D563" s="5" t="str">
        <f>""</f>
        <v/>
      </c>
      <c r="E563" s="5" t="str">
        <f>"24,00"</f>
        <v>24,00</v>
      </c>
      <c r="F563" s="5" t="str">
        <f>"2037"</f>
        <v>2037</v>
      </c>
      <c r="G563" s="5" t="str">
        <f t="shared" si="789"/>
        <v>нет</v>
      </c>
      <c r="H563" s="5" t="str">
        <f>""</f>
        <v/>
      </c>
      <c r="I563" s="5" t="str">
        <f>""</f>
        <v/>
      </c>
      <c r="J563" s="5" t="str">
        <f>""</f>
        <v/>
      </c>
      <c r="K563" s="5" t="str">
        <f t="shared" si="790"/>
        <v>нет</v>
      </c>
      <c r="L563" s="5" t="str">
        <f>""</f>
        <v/>
      </c>
      <c r="M563" s="5" t="str">
        <f>""</f>
        <v/>
      </c>
      <c r="N563" s="5" t="str">
        <f>""</f>
        <v/>
      </c>
      <c r="O563" s="8" t="str">
        <f>""</f>
        <v/>
      </c>
      <c r="P563" s="5" t="str">
        <f>""</f>
        <v/>
      </c>
      <c r="Q563" s="5" t="str">
        <f>""</f>
        <v/>
      </c>
      <c r="R563" s="5" t="str">
        <f>""</f>
        <v/>
      </c>
      <c r="S563" s="5" t="str">
        <f>""</f>
        <v/>
      </c>
      <c r="T563" s="5" t="str">
        <f>""</f>
        <v/>
      </c>
      <c r="U563" s="5" t="str">
        <f>""</f>
        <v/>
      </c>
      <c r="V563" s="5" t="str">
        <f>""</f>
        <v/>
      </c>
      <c r="W563" s="5" t="str">
        <f>""</f>
        <v/>
      </c>
      <c r="X563" s="5" t="str">
        <f>""</f>
        <v/>
      </c>
      <c r="Y563" s="9" t="str">
        <f>""</f>
        <v/>
      </c>
      <c r="Z563" s="5" t="str">
        <f>""</f>
        <v/>
      </c>
      <c r="AA563" s="5" t="str">
        <f>""</f>
        <v/>
      </c>
      <c r="AB563" s="5" t="str">
        <f>""</f>
        <v/>
      </c>
      <c r="AC563" s="5" t="str">
        <f>""</f>
        <v/>
      </c>
      <c r="AD563" s="5" t="str">
        <f>""</f>
        <v/>
      </c>
      <c r="AE563" s="5" t="str">
        <f>""</f>
        <v/>
      </c>
      <c r="AF563" s="5" t="str">
        <f>""</f>
        <v/>
      </c>
      <c r="AG563" s="5" t="str">
        <f>""</f>
        <v/>
      </c>
      <c r="AH563" s="5" t="str">
        <f>""</f>
        <v/>
      </c>
      <c r="AI563" s="5" t="str">
        <f>""</f>
        <v/>
      </c>
      <c r="AJ563" s="5" t="str">
        <f>""</f>
        <v/>
      </c>
      <c r="AK563" s="8" t="str">
        <f>""</f>
        <v/>
      </c>
      <c r="AL563" s="5" t="str">
        <f>"24,00"</f>
        <v>24,00</v>
      </c>
      <c r="AM563" s="5" t="str">
        <f>"2030"</f>
        <v>2030</v>
      </c>
      <c r="AN563" s="5" t="str">
        <f t="shared" si="788"/>
        <v>нет</v>
      </c>
      <c r="AO563" s="5" t="str">
        <f>""</f>
        <v/>
      </c>
      <c r="AP563" s="5" t="str">
        <f>""</f>
        <v/>
      </c>
      <c r="AQ563" s="5" t="str">
        <f>""</f>
        <v/>
      </c>
      <c r="AR563" s="5" t="str">
        <f t="shared" si="785"/>
        <v>нет</v>
      </c>
      <c r="AS563" s="5" t="str">
        <f>""</f>
        <v/>
      </c>
      <c r="AT563" s="5" t="str">
        <f>""</f>
        <v/>
      </c>
      <c r="AU563" s="5" t="str">
        <f>""</f>
        <v/>
      </c>
      <c r="AV563" s="5" t="str">
        <f t="shared" si="797"/>
        <v>х</v>
      </c>
      <c r="AW563" s="5" t="str">
        <f t="shared" si="797"/>
        <v>х</v>
      </c>
      <c r="AX563" s="5" t="str">
        <f t="shared" si="797"/>
        <v>х</v>
      </c>
      <c r="AY563" s="5" t="str">
        <f t="shared" si="797"/>
        <v>х</v>
      </c>
      <c r="AZ563" s="5" t="str">
        <f t="shared" si="797"/>
        <v>х</v>
      </c>
      <c r="BA563" s="5" t="str">
        <f t="shared" si="797"/>
        <v>х</v>
      </c>
      <c r="BB563" s="5" t="str">
        <f t="shared" si="797"/>
        <v>х</v>
      </c>
      <c r="BC563" s="5" t="str">
        <f t="shared" si="797"/>
        <v>х</v>
      </c>
      <c r="BD563" s="5" t="str">
        <f t="shared" si="797"/>
        <v>х</v>
      </c>
      <c r="BE563" s="5" t="str">
        <f t="shared" si="797"/>
        <v>х</v>
      </c>
      <c r="BF563" s="5" t="str">
        <f t="shared" si="797"/>
        <v>х</v>
      </c>
      <c r="BG563" s="5" t="str">
        <f>""</f>
        <v/>
      </c>
      <c r="BH563" s="5" t="str">
        <f>""</f>
        <v/>
      </c>
      <c r="BI563" s="5" t="str">
        <f>""</f>
        <v/>
      </c>
      <c r="BJ563" s="5" t="str">
        <f>""</f>
        <v/>
      </c>
      <c r="BK563" s="5" t="str">
        <f>""</f>
        <v/>
      </c>
      <c r="BL563" s="5" t="str">
        <f>""</f>
        <v/>
      </c>
      <c r="BM563" s="5" t="str">
        <f>""</f>
        <v/>
      </c>
      <c r="BN563" s="5" t="str">
        <f>""</f>
        <v/>
      </c>
      <c r="BO563" s="5" t="str">
        <f>""</f>
        <v/>
      </c>
      <c r="BP563" s="5" t="str">
        <f>""</f>
        <v/>
      </c>
      <c r="BQ563" s="5" t="str">
        <f>""</f>
        <v/>
      </c>
      <c r="BR563" s="5" t="str">
        <f>""</f>
        <v/>
      </c>
      <c r="BS563" s="5" t="str">
        <f>"24,00"</f>
        <v>24,00</v>
      </c>
      <c r="BT563" s="5" t="str">
        <f>"2034"</f>
        <v>2034</v>
      </c>
      <c r="BU563" s="5" t="str">
        <f t="shared" si="796"/>
        <v>нет</v>
      </c>
      <c r="BV563" s="5" t="str">
        <f t="shared" si="799"/>
        <v>x</v>
      </c>
      <c r="BW563" s="5" t="str">
        <f t="shared" si="799"/>
        <v>x</v>
      </c>
      <c r="BX563" s="5" t="str">
        <f t="shared" si="799"/>
        <v>x</v>
      </c>
      <c r="BY563" s="5" t="str">
        <f t="shared" si="792"/>
        <v>нет</v>
      </c>
      <c r="BZ563" s="5" t="str">
        <f t="shared" si="798"/>
        <v>x</v>
      </c>
      <c r="CA563" s="5" t="str">
        <f t="shared" si="798"/>
        <v>x</v>
      </c>
      <c r="CB563" s="5" t="str">
        <f t="shared" si="798"/>
        <v>x</v>
      </c>
      <c r="CC563" s="5" t="str">
        <f>"2012"</f>
        <v>2012</v>
      </c>
      <c r="CD563" s="5" t="str">
        <f>"24,00"</f>
        <v>24,00</v>
      </c>
      <c r="CE563" s="5" t="str">
        <f>"2037"</f>
        <v>2037</v>
      </c>
      <c r="CF563" s="5" t="str">
        <f>"2012"</f>
        <v>2012</v>
      </c>
      <c r="CG563" s="5" t="str">
        <f>"24,00"</f>
        <v>24,00</v>
      </c>
      <c r="CH563" s="5" t="str">
        <f>"2037"</f>
        <v>2037</v>
      </c>
      <c r="CI563" s="5" t="str">
        <f>"24,00"</f>
        <v>24,00</v>
      </c>
      <c r="CJ563" s="5" t="str">
        <f>"2037"</f>
        <v>2037</v>
      </c>
    </row>
    <row r="564" spans="1:88" ht="11.25" customHeight="1">
      <c r="A564" s="3" t="str">
        <f>"1.551"</f>
        <v>1.551</v>
      </c>
      <c r="B564" s="4" t="str">
        <f>"пгт. Вохтога, ул. Парковая, д.3"</f>
        <v>пгт. Вохтога, ул. Парковая, д.3</v>
      </c>
      <c r="C564" s="7" t="str">
        <f>"2008"</f>
        <v>2008</v>
      </c>
      <c r="D564" s="5" t="str">
        <f>""</f>
        <v/>
      </c>
      <c r="E564" s="5" t="str">
        <f>"14,00"</f>
        <v>14,00</v>
      </c>
      <c r="F564" s="5" t="str">
        <f>"2038"</f>
        <v>2038</v>
      </c>
      <c r="G564" s="5" t="str">
        <f>"да"</f>
        <v>да</v>
      </c>
      <c r="H564" s="5" t="str">
        <f>""</f>
        <v/>
      </c>
      <c r="I564" s="5" t="str">
        <f>"14,00"</f>
        <v>14,00</v>
      </c>
      <c r="J564" s="5" t="str">
        <f>"2038"</f>
        <v>2038</v>
      </c>
      <c r="K564" s="5" t="str">
        <f t="shared" si="790"/>
        <v>нет</v>
      </c>
      <c r="L564" s="5" t="str">
        <f>""</f>
        <v/>
      </c>
      <c r="M564" s="5" t="str">
        <f>""</f>
        <v/>
      </c>
      <c r="N564" s="5" t="str">
        <f>""</f>
        <v/>
      </c>
      <c r="O564" s="8" t="str">
        <f>""</f>
        <v/>
      </c>
      <c r="P564" s="5" t="str">
        <f>""</f>
        <v/>
      </c>
      <c r="Q564" s="5" t="str">
        <f>""</f>
        <v/>
      </c>
      <c r="R564" s="5" t="str">
        <f>""</f>
        <v/>
      </c>
      <c r="S564" s="5" t="str">
        <f>""</f>
        <v/>
      </c>
      <c r="T564" s="5" t="str">
        <f>""</f>
        <v/>
      </c>
      <c r="U564" s="5" t="str">
        <f>""</f>
        <v/>
      </c>
      <c r="V564" s="5" t="str">
        <f>""</f>
        <v/>
      </c>
      <c r="W564" s="5" t="str">
        <f>""</f>
        <v/>
      </c>
      <c r="X564" s="5" t="str">
        <f>""</f>
        <v/>
      </c>
      <c r="Y564" s="9" t="str">
        <f>""</f>
        <v/>
      </c>
      <c r="Z564" s="5" t="str">
        <f>""</f>
        <v/>
      </c>
      <c r="AA564" s="5" t="str">
        <f>"2,00"</f>
        <v>2,00</v>
      </c>
      <c r="AB564" s="5" t="str">
        <f>"2041"</f>
        <v>2041</v>
      </c>
      <c r="AC564" s="5" t="str">
        <f>"нет"</f>
        <v>нет</v>
      </c>
      <c r="AD564" s="5" t="str">
        <f>""</f>
        <v/>
      </c>
      <c r="AE564" s="5" t="str">
        <f>""</f>
        <v/>
      </c>
      <c r="AF564" s="5" t="str">
        <f>""</f>
        <v/>
      </c>
      <c r="AG564" s="5" t="str">
        <f>"нет"</f>
        <v>нет</v>
      </c>
      <c r="AH564" s="5" t="str">
        <f>""</f>
        <v/>
      </c>
      <c r="AI564" s="5" t="str">
        <f>""</f>
        <v/>
      </c>
      <c r="AJ564" s="5" t="str">
        <f>""</f>
        <v/>
      </c>
      <c r="AK564" s="8" t="str">
        <f>""</f>
        <v/>
      </c>
      <c r="AL564" s="5" t="str">
        <f>"14,00"</f>
        <v>14,00</v>
      </c>
      <c r="AM564" s="5" t="str">
        <f>"2038"</f>
        <v>2038</v>
      </c>
      <c r="AN564" s="5" t="str">
        <f t="shared" si="788"/>
        <v>нет</v>
      </c>
      <c r="AO564" s="5" t="str">
        <f>""</f>
        <v/>
      </c>
      <c r="AP564" s="5" t="str">
        <f>""</f>
        <v/>
      </c>
      <c r="AQ564" s="5" t="str">
        <f>""</f>
        <v/>
      </c>
      <c r="AR564" s="5" t="str">
        <f t="shared" si="785"/>
        <v>нет</v>
      </c>
      <c r="AS564" s="5" t="str">
        <f>""</f>
        <v/>
      </c>
      <c r="AT564" s="5" t="str">
        <f>""</f>
        <v/>
      </c>
      <c r="AU564" s="5" t="str">
        <f>""</f>
        <v/>
      </c>
      <c r="AV564" s="5" t="str">
        <f t="shared" si="797"/>
        <v>х</v>
      </c>
      <c r="AW564" s="5" t="str">
        <f t="shared" si="797"/>
        <v>х</v>
      </c>
      <c r="AX564" s="5" t="str">
        <f t="shared" si="797"/>
        <v>х</v>
      </c>
      <c r="AY564" s="5" t="str">
        <f t="shared" si="797"/>
        <v>х</v>
      </c>
      <c r="AZ564" s="5" t="str">
        <f t="shared" si="797"/>
        <v>х</v>
      </c>
      <c r="BA564" s="5" t="str">
        <f t="shared" si="797"/>
        <v>х</v>
      </c>
      <c r="BB564" s="5" t="str">
        <f t="shared" si="797"/>
        <v>х</v>
      </c>
      <c r="BC564" s="5" t="str">
        <f t="shared" si="797"/>
        <v>х</v>
      </c>
      <c r="BD564" s="5" t="str">
        <f t="shared" si="797"/>
        <v>х</v>
      </c>
      <c r="BE564" s="5" t="str">
        <f t="shared" si="797"/>
        <v>х</v>
      </c>
      <c r="BF564" s="5" t="str">
        <f t="shared" si="797"/>
        <v>х</v>
      </c>
      <c r="BG564" s="5" t="str">
        <f>""</f>
        <v/>
      </c>
      <c r="BH564" s="5" t="str">
        <f>""</f>
        <v/>
      </c>
      <c r="BI564" s="5" t="str">
        <f>""</f>
        <v/>
      </c>
      <c r="BJ564" s="5" t="str">
        <f>""</f>
        <v/>
      </c>
      <c r="BK564" s="5" t="str">
        <f>""</f>
        <v/>
      </c>
      <c r="BL564" s="5" t="str">
        <f>""</f>
        <v/>
      </c>
      <c r="BM564" s="5" t="str">
        <f>""</f>
        <v/>
      </c>
      <c r="BN564" s="5" t="str">
        <f>""</f>
        <v/>
      </c>
      <c r="BO564" s="5" t="str">
        <f>""</f>
        <v/>
      </c>
      <c r="BP564" s="5" t="str">
        <f>""</f>
        <v/>
      </c>
      <c r="BQ564" s="5" t="str">
        <f>""</f>
        <v/>
      </c>
      <c r="BR564" s="5" t="str">
        <f>""</f>
        <v/>
      </c>
      <c r="BS564" s="5" t="str">
        <f>"14,00"</f>
        <v>14,00</v>
      </c>
      <c r="BT564" s="5" t="str">
        <f>"2038"</f>
        <v>2038</v>
      </c>
      <c r="BU564" s="5" t="str">
        <f t="shared" si="796"/>
        <v>нет</v>
      </c>
      <c r="BV564" s="5" t="str">
        <f t="shared" si="799"/>
        <v>x</v>
      </c>
      <c r="BW564" s="5" t="str">
        <f t="shared" si="799"/>
        <v>x</v>
      </c>
      <c r="BX564" s="5" t="str">
        <f t="shared" si="799"/>
        <v>x</v>
      </c>
      <c r="BY564" s="5" t="str">
        <f t="shared" si="792"/>
        <v>нет</v>
      </c>
      <c r="BZ564" s="5" t="str">
        <f t="shared" si="798"/>
        <v>x</v>
      </c>
      <c r="CA564" s="5" t="str">
        <f t="shared" si="798"/>
        <v>x</v>
      </c>
      <c r="CB564" s="5" t="str">
        <f t="shared" si="798"/>
        <v>x</v>
      </c>
      <c r="CC564" s="5" t="str">
        <f>""</f>
        <v/>
      </c>
      <c r="CD564" s="5" t="str">
        <f>"14,00"</f>
        <v>14,00</v>
      </c>
      <c r="CE564" s="5" t="str">
        <f>"2038"</f>
        <v>2038</v>
      </c>
      <c r="CF564" s="5" t="str">
        <f>""</f>
        <v/>
      </c>
      <c r="CG564" s="5" t="str">
        <f>"14,00"</f>
        <v>14,00</v>
      </c>
      <c r="CH564" s="5" t="str">
        <f>"2038"</f>
        <v>2038</v>
      </c>
      <c r="CI564" s="5" t="str">
        <f>"14,00"</f>
        <v>14,00</v>
      </c>
      <c r="CJ564" s="5" t="str">
        <f>"2038"</f>
        <v>2038</v>
      </c>
    </row>
    <row r="565" spans="1:88" ht="11.25" customHeight="1">
      <c r="A565" s="3" t="str">
        <f>"1.552"</f>
        <v>1.552</v>
      </c>
      <c r="B565" s="4" t="str">
        <f>"пгт. Вохтога, ул. Первомайская, д.45"</f>
        <v>пгт. Вохтога, ул. Первомайская, д.45</v>
      </c>
      <c r="C565" s="7" t="str">
        <f>"1956"</f>
        <v>1956</v>
      </c>
      <c r="D565" s="5" t="str">
        <f>""</f>
        <v/>
      </c>
      <c r="E565" s="5" t="str">
        <f>"46,00"</f>
        <v>46,00</v>
      </c>
      <c r="F565" s="5" t="str">
        <f>"2020"</f>
        <v>2020</v>
      </c>
      <c r="G565" s="5" t="str">
        <f t="shared" ref="G565:G576" si="800">"нет"</f>
        <v>нет</v>
      </c>
      <c r="H565" s="5" t="str">
        <f>""</f>
        <v/>
      </c>
      <c r="I565" s="5" t="str">
        <f>""</f>
        <v/>
      </c>
      <c r="J565" s="5" t="str">
        <f>""</f>
        <v/>
      </c>
      <c r="K565" s="5" t="str">
        <f t="shared" si="790"/>
        <v>нет</v>
      </c>
      <c r="L565" s="5" t="str">
        <f>""</f>
        <v/>
      </c>
      <c r="M565" s="5" t="str">
        <f>""</f>
        <v/>
      </c>
      <c r="N565" s="5" t="str">
        <f>""</f>
        <v/>
      </c>
      <c r="O565" s="8" t="str">
        <f>""</f>
        <v/>
      </c>
      <c r="P565" s="5" t="str">
        <f>""</f>
        <v/>
      </c>
      <c r="Q565" s="5" t="str">
        <f>""</f>
        <v/>
      </c>
      <c r="R565" s="5" t="str">
        <f>""</f>
        <v/>
      </c>
      <c r="S565" s="5" t="str">
        <f>""</f>
        <v/>
      </c>
      <c r="T565" s="5" t="str">
        <f>""</f>
        <v/>
      </c>
      <c r="U565" s="5" t="str">
        <f>""</f>
        <v/>
      </c>
      <c r="V565" s="5" t="str">
        <f>""</f>
        <v/>
      </c>
      <c r="W565" s="5" t="str">
        <f>""</f>
        <v/>
      </c>
      <c r="X565" s="5" t="str">
        <f>""</f>
        <v/>
      </c>
      <c r="Y565" s="9" t="str">
        <f>""</f>
        <v/>
      </c>
      <c r="Z565" s="5" t="str">
        <f>""</f>
        <v/>
      </c>
      <c r="AA565" s="5" t="str">
        <f>""</f>
        <v/>
      </c>
      <c r="AB565" s="5" t="str">
        <f>""</f>
        <v/>
      </c>
      <c r="AC565" s="5" t="str">
        <f>""</f>
        <v/>
      </c>
      <c r="AD565" s="5" t="str">
        <f>""</f>
        <v/>
      </c>
      <c r="AE565" s="5" t="str">
        <f>""</f>
        <v/>
      </c>
      <c r="AF565" s="5" t="str">
        <f>""</f>
        <v/>
      </c>
      <c r="AG565" s="5" t="str">
        <f>""</f>
        <v/>
      </c>
      <c r="AH565" s="5" t="str">
        <f>""</f>
        <v/>
      </c>
      <c r="AI565" s="5" t="str">
        <f>""</f>
        <v/>
      </c>
      <c r="AJ565" s="5" t="str">
        <f>""</f>
        <v/>
      </c>
      <c r="AK565" s="8" t="str">
        <f>""</f>
        <v/>
      </c>
      <c r="AL565" s="5" t="str">
        <f>"46,00"</f>
        <v>46,00</v>
      </c>
      <c r="AM565" s="5" t="str">
        <f>"2020"</f>
        <v>2020</v>
      </c>
      <c r="AN565" s="5" t="str">
        <f t="shared" si="788"/>
        <v>нет</v>
      </c>
      <c r="AO565" s="5" t="str">
        <f>""</f>
        <v/>
      </c>
      <c r="AP565" s="5" t="str">
        <f>""</f>
        <v/>
      </c>
      <c r="AQ565" s="5" t="str">
        <f>""</f>
        <v/>
      </c>
      <c r="AR565" s="5" t="str">
        <f t="shared" si="785"/>
        <v>нет</v>
      </c>
      <c r="AS565" s="5" t="str">
        <f>""</f>
        <v/>
      </c>
      <c r="AT565" s="5" t="str">
        <f>""</f>
        <v/>
      </c>
      <c r="AU565" s="5" t="str">
        <f>""</f>
        <v/>
      </c>
      <c r="AV565" s="5" t="str">
        <f t="shared" si="797"/>
        <v>х</v>
      </c>
      <c r="AW565" s="5" t="str">
        <f t="shared" si="797"/>
        <v>х</v>
      </c>
      <c r="AX565" s="5" t="str">
        <f t="shared" si="797"/>
        <v>х</v>
      </c>
      <c r="AY565" s="5" t="str">
        <f t="shared" si="797"/>
        <v>х</v>
      </c>
      <c r="AZ565" s="5" t="str">
        <f t="shared" si="797"/>
        <v>х</v>
      </c>
      <c r="BA565" s="5" t="str">
        <f t="shared" si="797"/>
        <v>х</v>
      </c>
      <c r="BB565" s="5" t="str">
        <f t="shared" si="797"/>
        <v>х</v>
      </c>
      <c r="BC565" s="5" t="str">
        <f t="shared" si="797"/>
        <v>х</v>
      </c>
      <c r="BD565" s="5" t="str">
        <f t="shared" si="797"/>
        <v>х</v>
      </c>
      <c r="BE565" s="5" t="str">
        <f t="shared" si="797"/>
        <v>х</v>
      </c>
      <c r="BF565" s="5" t="str">
        <f t="shared" si="797"/>
        <v>х</v>
      </c>
      <c r="BG565" s="5" t="str">
        <f>""</f>
        <v/>
      </c>
      <c r="BH565" s="5" t="str">
        <f>""</f>
        <v/>
      </c>
      <c r="BI565" s="5" t="str">
        <f>""</f>
        <v/>
      </c>
      <c r="BJ565" s="5" t="str">
        <f>""</f>
        <v/>
      </c>
      <c r="BK565" s="5" t="str">
        <f>""</f>
        <v/>
      </c>
      <c r="BL565" s="5" t="str">
        <f>""</f>
        <v/>
      </c>
      <c r="BM565" s="5" t="str">
        <f>""</f>
        <v/>
      </c>
      <c r="BN565" s="5" t="str">
        <f>""</f>
        <v/>
      </c>
      <c r="BO565" s="5" t="str">
        <f>""</f>
        <v/>
      </c>
      <c r="BP565" s="5" t="str">
        <f>""</f>
        <v/>
      </c>
      <c r="BQ565" s="5" t="str">
        <f>""</f>
        <v/>
      </c>
      <c r="BR565" s="5" t="str">
        <f>""</f>
        <v/>
      </c>
      <c r="BS565" s="5" t="str">
        <f>"46,00"</f>
        <v>46,00</v>
      </c>
      <c r="BT565" s="5" t="str">
        <f>"2020"</f>
        <v>2020</v>
      </c>
      <c r="BU565" s="5" t="str">
        <f t="shared" si="796"/>
        <v>нет</v>
      </c>
      <c r="BV565" s="5" t="str">
        <f t="shared" si="799"/>
        <v>x</v>
      </c>
      <c r="BW565" s="5" t="str">
        <f t="shared" si="799"/>
        <v>x</v>
      </c>
      <c r="BX565" s="5" t="str">
        <f t="shared" si="799"/>
        <v>x</v>
      </c>
      <c r="BY565" s="5" t="str">
        <f t="shared" si="792"/>
        <v>нет</v>
      </c>
      <c r="BZ565" s="5" t="str">
        <f t="shared" si="798"/>
        <v>x</v>
      </c>
      <c r="CA565" s="5" t="str">
        <f t="shared" si="798"/>
        <v>x</v>
      </c>
      <c r="CB565" s="5" t="str">
        <f t="shared" si="798"/>
        <v>x</v>
      </c>
      <c r="CC565" s="5" t="str">
        <f>""</f>
        <v/>
      </c>
      <c r="CD565" s="5" t="str">
        <f>"46,00"</f>
        <v>46,00</v>
      </c>
      <c r="CE565" s="5" t="str">
        <f>"2020"</f>
        <v>2020</v>
      </c>
      <c r="CF565" s="5" t="str">
        <f>""</f>
        <v/>
      </c>
      <c r="CG565" s="5" t="str">
        <f>"46,00"</f>
        <v>46,00</v>
      </c>
      <c r="CH565" s="5" t="str">
        <f>"2020"</f>
        <v>2020</v>
      </c>
      <c r="CI565" s="5" t="str">
        <f>"46,00"</f>
        <v>46,00</v>
      </c>
      <c r="CJ565" s="5" t="str">
        <f>"2020"</f>
        <v>2020</v>
      </c>
    </row>
    <row r="566" spans="1:88" ht="11.25" customHeight="1">
      <c r="A566" s="3" t="str">
        <f>"1.553"</f>
        <v>1.553</v>
      </c>
      <c r="B566" s="4" t="str">
        <f>"пгт. Вохтога, ул. Первомайская, д.47"</f>
        <v>пгт. Вохтога, ул. Первомайская, д.47</v>
      </c>
      <c r="C566" s="7" t="str">
        <f>"1955"</f>
        <v>1955</v>
      </c>
      <c r="D566" s="5" t="str">
        <f>""</f>
        <v/>
      </c>
      <c r="E566" s="5" t="str">
        <f>"41,00"</f>
        <v>41,00</v>
      </c>
      <c r="F566" s="5" t="str">
        <f>"2019"</f>
        <v>2019</v>
      </c>
      <c r="G566" s="5" t="str">
        <f t="shared" si="800"/>
        <v>нет</v>
      </c>
      <c r="H566" s="5" t="str">
        <f>""</f>
        <v/>
      </c>
      <c r="I566" s="5" t="str">
        <f>""</f>
        <v/>
      </c>
      <c r="J566" s="5" t="str">
        <f>""</f>
        <v/>
      </c>
      <c r="K566" s="5" t="str">
        <f t="shared" si="790"/>
        <v>нет</v>
      </c>
      <c r="L566" s="5" t="str">
        <f>""</f>
        <v/>
      </c>
      <c r="M566" s="5" t="str">
        <f>""</f>
        <v/>
      </c>
      <c r="N566" s="5" t="str">
        <f>""</f>
        <v/>
      </c>
      <c r="O566" s="8" t="str">
        <f>""</f>
        <v/>
      </c>
      <c r="P566" s="5" t="str">
        <f>""</f>
        <v/>
      </c>
      <c r="Q566" s="5" t="str">
        <f>""</f>
        <v/>
      </c>
      <c r="R566" s="5" t="str">
        <f>""</f>
        <v/>
      </c>
      <c r="S566" s="5" t="str">
        <f>""</f>
        <v/>
      </c>
      <c r="T566" s="5" t="str">
        <f>""</f>
        <v/>
      </c>
      <c r="U566" s="5" t="str">
        <f>""</f>
        <v/>
      </c>
      <c r="V566" s="5" t="str">
        <f>""</f>
        <v/>
      </c>
      <c r="W566" s="5" t="str">
        <f>""</f>
        <v/>
      </c>
      <c r="X566" s="5" t="str">
        <f>""</f>
        <v/>
      </c>
      <c r="Y566" s="9" t="str">
        <f>""</f>
        <v/>
      </c>
      <c r="Z566" s="5" t="str">
        <f>""</f>
        <v/>
      </c>
      <c r="AA566" s="5" t="str">
        <f>""</f>
        <v/>
      </c>
      <c r="AB566" s="5" t="str">
        <f>""</f>
        <v/>
      </c>
      <c r="AC566" s="5" t="str">
        <f>""</f>
        <v/>
      </c>
      <c r="AD566" s="5" t="str">
        <f>""</f>
        <v/>
      </c>
      <c r="AE566" s="5" t="str">
        <f>""</f>
        <v/>
      </c>
      <c r="AF566" s="5" t="str">
        <f>""</f>
        <v/>
      </c>
      <c r="AG566" s="5" t="str">
        <f>""</f>
        <v/>
      </c>
      <c r="AH566" s="5" t="str">
        <f>""</f>
        <v/>
      </c>
      <c r="AI566" s="5" t="str">
        <f>""</f>
        <v/>
      </c>
      <c r="AJ566" s="5" t="str">
        <f>""</f>
        <v/>
      </c>
      <c r="AK566" s="8" t="str">
        <f>""</f>
        <v/>
      </c>
      <c r="AL566" s="5" t="str">
        <f>"41,00"</f>
        <v>41,00</v>
      </c>
      <c r="AM566" s="5" t="str">
        <f>"2019"</f>
        <v>2019</v>
      </c>
      <c r="AN566" s="5" t="str">
        <f t="shared" si="788"/>
        <v>нет</v>
      </c>
      <c r="AO566" s="5" t="str">
        <f>""</f>
        <v/>
      </c>
      <c r="AP566" s="5" t="str">
        <f>""</f>
        <v/>
      </c>
      <c r="AQ566" s="5" t="str">
        <f>""</f>
        <v/>
      </c>
      <c r="AR566" s="5" t="str">
        <f t="shared" ref="AR566:AR597" si="801">"нет"</f>
        <v>нет</v>
      </c>
      <c r="AS566" s="5" t="str">
        <f>""</f>
        <v/>
      </c>
      <c r="AT566" s="5" t="str">
        <f>""</f>
        <v/>
      </c>
      <c r="AU566" s="5" t="str">
        <f>""</f>
        <v/>
      </c>
      <c r="AV566" s="5" t="str">
        <f t="shared" si="797"/>
        <v>х</v>
      </c>
      <c r="AW566" s="5" t="str">
        <f t="shared" si="797"/>
        <v>х</v>
      </c>
      <c r="AX566" s="5" t="str">
        <f t="shared" si="797"/>
        <v>х</v>
      </c>
      <c r="AY566" s="5" t="str">
        <f t="shared" si="797"/>
        <v>х</v>
      </c>
      <c r="AZ566" s="5" t="str">
        <f t="shared" si="797"/>
        <v>х</v>
      </c>
      <c r="BA566" s="5" t="str">
        <f t="shared" si="797"/>
        <v>х</v>
      </c>
      <c r="BB566" s="5" t="str">
        <f t="shared" si="797"/>
        <v>х</v>
      </c>
      <c r="BC566" s="5" t="str">
        <f t="shared" si="797"/>
        <v>х</v>
      </c>
      <c r="BD566" s="5" t="str">
        <f t="shared" si="797"/>
        <v>х</v>
      </c>
      <c r="BE566" s="5" t="str">
        <f t="shared" si="797"/>
        <v>х</v>
      </c>
      <c r="BF566" s="5" t="str">
        <f t="shared" si="797"/>
        <v>х</v>
      </c>
      <c r="BG566" s="5" t="str">
        <f>""</f>
        <v/>
      </c>
      <c r="BH566" s="5" t="str">
        <f>""</f>
        <v/>
      </c>
      <c r="BI566" s="5" t="str">
        <f>""</f>
        <v/>
      </c>
      <c r="BJ566" s="5" t="str">
        <f>""</f>
        <v/>
      </c>
      <c r="BK566" s="5" t="str">
        <f>""</f>
        <v/>
      </c>
      <c r="BL566" s="5" t="str">
        <f>""</f>
        <v/>
      </c>
      <c r="BM566" s="5" t="str">
        <f>""</f>
        <v/>
      </c>
      <c r="BN566" s="5" t="str">
        <f>""</f>
        <v/>
      </c>
      <c r="BO566" s="5" t="str">
        <f>""</f>
        <v/>
      </c>
      <c r="BP566" s="5" t="str">
        <f>""</f>
        <v/>
      </c>
      <c r="BQ566" s="5" t="str">
        <f>""</f>
        <v/>
      </c>
      <c r="BR566" s="5" t="str">
        <f>""</f>
        <v/>
      </c>
      <c r="BS566" s="5" t="str">
        <f>"41,00"</f>
        <v>41,00</v>
      </c>
      <c r="BT566" s="5" t="str">
        <f>"2019"</f>
        <v>2019</v>
      </c>
      <c r="BU566" s="5" t="str">
        <f t="shared" si="796"/>
        <v>нет</v>
      </c>
      <c r="BV566" s="5" t="str">
        <f t="shared" si="799"/>
        <v>x</v>
      </c>
      <c r="BW566" s="5" t="str">
        <f t="shared" si="799"/>
        <v>x</v>
      </c>
      <c r="BX566" s="5" t="str">
        <f t="shared" si="799"/>
        <v>x</v>
      </c>
      <c r="BY566" s="5" t="str">
        <f t="shared" si="792"/>
        <v>нет</v>
      </c>
      <c r="BZ566" s="5" t="str">
        <f t="shared" si="798"/>
        <v>x</v>
      </c>
      <c r="CA566" s="5" t="str">
        <f t="shared" si="798"/>
        <v>x</v>
      </c>
      <c r="CB566" s="5" t="str">
        <f t="shared" si="798"/>
        <v>x</v>
      </c>
      <c r="CC566" s="5" t="str">
        <f>"2011"</f>
        <v>2011</v>
      </c>
      <c r="CD566" s="5" t="str">
        <f>"41,00"</f>
        <v>41,00</v>
      </c>
      <c r="CE566" s="5" t="str">
        <f>"2019"</f>
        <v>2019</v>
      </c>
      <c r="CF566" s="5" t="str">
        <f>""</f>
        <v/>
      </c>
      <c r="CG566" s="5" t="str">
        <f>"41,00"</f>
        <v>41,00</v>
      </c>
      <c r="CH566" s="5" t="str">
        <f>"2019"</f>
        <v>2019</v>
      </c>
      <c r="CI566" s="5" t="str">
        <f>"41,00"</f>
        <v>41,00</v>
      </c>
      <c r="CJ566" s="5" t="str">
        <f>"2019"</f>
        <v>2019</v>
      </c>
    </row>
    <row r="567" spans="1:88" ht="11.25" customHeight="1">
      <c r="A567" s="3" t="str">
        <f>"1.554"</f>
        <v>1.554</v>
      </c>
      <c r="B567" s="4" t="str">
        <f>"пгт. Вохтога, ул. Первомайская, д.50"</f>
        <v>пгт. Вохтога, ул. Первомайская, д.50</v>
      </c>
      <c r="C567" s="7" t="str">
        <f>"1955"</f>
        <v>1955</v>
      </c>
      <c r="D567" s="5" t="str">
        <f>""</f>
        <v/>
      </c>
      <c r="E567" s="5" t="str">
        <f>"64,00"</f>
        <v>64,00</v>
      </c>
      <c r="F567" s="5" t="str">
        <f>"2021"</f>
        <v>2021</v>
      </c>
      <c r="G567" s="5" t="str">
        <f t="shared" si="800"/>
        <v>нет</v>
      </c>
      <c r="H567" s="5" t="str">
        <f>""</f>
        <v/>
      </c>
      <c r="I567" s="5" t="str">
        <f>""</f>
        <v/>
      </c>
      <c r="J567" s="5" t="str">
        <f>""</f>
        <v/>
      </c>
      <c r="K567" s="5" t="str">
        <f t="shared" si="790"/>
        <v>нет</v>
      </c>
      <c r="L567" s="5" t="str">
        <f>""</f>
        <v/>
      </c>
      <c r="M567" s="5" t="str">
        <f>""</f>
        <v/>
      </c>
      <c r="N567" s="5" t="str">
        <f>""</f>
        <v/>
      </c>
      <c r="O567" s="8" t="str">
        <f>""</f>
        <v/>
      </c>
      <c r="P567" s="5" t="str">
        <f>""</f>
        <v/>
      </c>
      <c r="Q567" s="5" t="str">
        <f>""</f>
        <v/>
      </c>
      <c r="R567" s="5" t="str">
        <f>""</f>
        <v/>
      </c>
      <c r="S567" s="5" t="str">
        <f>""</f>
        <v/>
      </c>
      <c r="T567" s="5" t="str">
        <f>""</f>
        <v/>
      </c>
      <c r="U567" s="5" t="str">
        <f>""</f>
        <v/>
      </c>
      <c r="V567" s="5" t="str">
        <f>""</f>
        <v/>
      </c>
      <c r="W567" s="5" t="str">
        <f>""</f>
        <v/>
      </c>
      <c r="X567" s="5" t="str">
        <f>""</f>
        <v/>
      </c>
      <c r="Y567" s="9" t="str">
        <f>""</f>
        <v/>
      </c>
      <c r="Z567" s="5" t="str">
        <f>""</f>
        <v/>
      </c>
      <c r="AA567" s="5" t="str">
        <f>""</f>
        <v/>
      </c>
      <c r="AB567" s="5" t="str">
        <f>""</f>
        <v/>
      </c>
      <c r="AC567" s="5" t="str">
        <f>""</f>
        <v/>
      </c>
      <c r="AD567" s="5" t="str">
        <f>""</f>
        <v/>
      </c>
      <c r="AE567" s="5" t="str">
        <f>""</f>
        <v/>
      </c>
      <c r="AF567" s="5" t="str">
        <f>""</f>
        <v/>
      </c>
      <c r="AG567" s="5" t="str">
        <f>""</f>
        <v/>
      </c>
      <c r="AH567" s="5" t="str">
        <f>""</f>
        <v/>
      </c>
      <c r="AI567" s="5" t="str">
        <f>""</f>
        <v/>
      </c>
      <c r="AJ567" s="5" t="str">
        <f>""</f>
        <v/>
      </c>
      <c r="AK567" s="8" t="str">
        <f>""</f>
        <v/>
      </c>
      <c r="AL567" s="5" t="str">
        <f>"64,00"</f>
        <v>64,00</v>
      </c>
      <c r="AM567" s="5" t="str">
        <f>"2021"</f>
        <v>2021</v>
      </c>
      <c r="AN567" s="5" t="str">
        <f t="shared" ref="AN567:AN598" si="802">"нет"</f>
        <v>нет</v>
      </c>
      <c r="AO567" s="5" t="str">
        <f>""</f>
        <v/>
      </c>
      <c r="AP567" s="5" t="str">
        <f>""</f>
        <v/>
      </c>
      <c r="AQ567" s="5" t="str">
        <f>""</f>
        <v/>
      </c>
      <c r="AR567" s="5" t="str">
        <f t="shared" si="801"/>
        <v>нет</v>
      </c>
      <c r="AS567" s="5" t="str">
        <f>""</f>
        <v/>
      </c>
      <c r="AT567" s="5" t="str">
        <f>""</f>
        <v/>
      </c>
      <c r="AU567" s="5" t="str">
        <f>""</f>
        <v/>
      </c>
      <c r="AV567" s="5" t="str">
        <f t="shared" si="797"/>
        <v>х</v>
      </c>
      <c r="AW567" s="5" t="str">
        <f t="shared" si="797"/>
        <v>х</v>
      </c>
      <c r="AX567" s="5" t="str">
        <f t="shared" si="797"/>
        <v>х</v>
      </c>
      <c r="AY567" s="5" t="str">
        <f t="shared" si="797"/>
        <v>х</v>
      </c>
      <c r="AZ567" s="5" t="str">
        <f t="shared" si="797"/>
        <v>х</v>
      </c>
      <c r="BA567" s="5" t="str">
        <f t="shared" si="797"/>
        <v>х</v>
      </c>
      <c r="BB567" s="5" t="str">
        <f t="shared" si="797"/>
        <v>х</v>
      </c>
      <c r="BC567" s="5" t="str">
        <f t="shared" si="797"/>
        <v>х</v>
      </c>
      <c r="BD567" s="5" t="str">
        <f t="shared" si="797"/>
        <v>х</v>
      </c>
      <c r="BE567" s="5" t="str">
        <f t="shared" si="797"/>
        <v>х</v>
      </c>
      <c r="BF567" s="5" t="str">
        <f t="shared" si="797"/>
        <v>х</v>
      </c>
      <c r="BG567" s="5" t="str">
        <f>""</f>
        <v/>
      </c>
      <c r="BH567" s="5" t="str">
        <f>""</f>
        <v/>
      </c>
      <c r="BI567" s="5" t="str">
        <f>""</f>
        <v/>
      </c>
      <c r="BJ567" s="5" t="str">
        <f>""</f>
        <v/>
      </c>
      <c r="BK567" s="5" t="str">
        <f>""</f>
        <v/>
      </c>
      <c r="BL567" s="5" t="str">
        <f>""</f>
        <v/>
      </c>
      <c r="BM567" s="5" t="str">
        <f>""</f>
        <v/>
      </c>
      <c r="BN567" s="5" t="str">
        <f>""</f>
        <v/>
      </c>
      <c r="BO567" s="5" t="str">
        <f>""</f>
        <v/>
      </c>
      <c r="BP567" s="5" t="str">
        <f>""</f>
        <v/>
      </c>
      <c r="BQ567" s="5" t="str">
        <f>""</f>
        <v/>
      </c>
      <c r="BR567" s="5" t="str">
        <f>""</f>
        <v/>
      </c>
      <c r="BS567" s="5" t="str">
        <f>"64,00"</f>
        <v>64,00</v>
      </c>
      <c r="BT567" s="5" t="str">
        <f>"2021"</f>
        <v>2021</v>
      </c>
      <c r="BU567" s="5" t="str">
        <f t="shared" si="796"/>
        <v>нет</v>
      </c>
      <c r="BV567" s="5" t="str">
        <f t="shared" si="799"/>
        <v>x</v>
      </c>
      <c r="BW567" s="5" t="str">
        <f t="shared" si="799"/>
        <v>x</v>
      </c>
      <c r="BX567" s="5" t="str">
        <f t="shared" si="799"/>
        <v>x</v>
      </c>
      <c r="BY567" s="5" t="str">
        <f t="shared" si="792"/>
        <v>нет</v>
      </c>
      <c r="BZ567" s="5" t="str">
        <f t="shared" si="798"/>
        <v>x</v>
      </c>
      <c r="CA567" s="5" t="str">
        <f t="shared" si="798"/>
        <v>x</v>
      </c>
      <c r="CB567" s="5" t="str">
        <f t="shared" si="798"/>
        <v>x</v>
      </c>
      <c r="CC567" s="5" t="str">
        <f>""</f>
        <v/>
      </c>
      <c r="CD567" s="5" t="str">
        <f>"64,00"</f>
        <v>64,00</v>
      </c>
      <c r="CE567" s="5" t="str">
        <f>"2021"</f>
        <v>2021</v>
      </c>
      <c r="CF567" s="5" t="str">
        <f>""</f>
        <v/>
      </c>
      <c r="CG567" s="5" t="str">
        <f>"64,00"</f>
        <v>64,00</v>
      </c>
      <c r="CH567" s="5" t="str">
        <f>"2021"</f>
        <v>2021</v>
      </c>
      <c r="CI567" s="5" t="str">
        <f>"64,00"</f>
        <v>64,00</v>
      </c>
      <c r="CJ567" s="5" t="str">
        <f>"2021"</f>
        <v>2021</v>
      </c>
    </row>
    <row r="568" spans="1:88" ht="11.25" customHeight="1">
      <c r="A568" s="3" t="str">
        <f>"1.555"</f>
        <v>1.555</v>
      </c>
      <c r="B568" s="4" t="str">
        <f>"пгт. Вохтога, ул. Первомайская, д.52"</f>
        <v>пгт. Вохтога, ул. Первомайская, д.52</v>
      </c>
      <c r="C568" s="7" t="str">
        <f>"1955"</f>
        <v>1955</v>
      </c>
      <c r="D568" s="5" t="str">
        <f>""</f>
        <v/>
      </c>
      <c r="E568" s="5" t="str">
        <f>"50,00"</f>
        <v>50,00</v>
      </c>
      <c r="F568" s="5" t="str">
        <f>"2022"</f>
        <v>2022</v>
      </c>
      <c r="G568" s="5" t="str">
        <f t="shared" si="800"/>
        <v>нет</v>
      </c>
      <c r="H568" s="5" t="str">
        <f>""</f>
        <v/>
      </c>
      <c r="I568" s="5" t="str">
        <f>""</f>
        <v/>
      </c>
      <c r="J568" s="5" t="str">
        <f>""</f>
        <v/>
      </c>
      <c r="K568" s="5" t="str">
        <f t="shared" si="790"/>
        <v>нет</v>
      </c>
      <c r="L568" s="5" t="str">
        <f>""</f>
        <v/>
      </c>
      <c r="M568" s="5" t="str">
        <f>""</f>
        <v/>
      </c>
      <c r="N568" s="5" t="str">
        <f>""</f>
        <v/>
      </c>
      <c r="O568" s="8" t="str">
        <f>""</f>
        <v/>
      </c>
      <c r="P568" s="5" t="str">
        <f>""</f>
        <v/>
      </c>
      <c r="Q568" s="5" t="str">
        <f>""</f>
        <v/>
      </c>
      <c r="R568" s="5" t="str">
        <f>""</f>
        <v/>
      </c>
      <c r="S568" s="5" t="str">
        <f>""</f>
        <v/>
      </c>
      <c r="T568" s="5" t="str">
        <f>""</f>
        <v/>
      </c>
      <c r="U568" s="5" t="str">
        <f>""</f>
        <v/>
      </c>
      <c r="V568" s="5" t="str">
        <f>""</f>
        <v/>
      </c>
      <c r="W568" s="5" t="str">
        <f>""</f>
        <v/>
      </c>
      <c r="X568" s="5" t="str">
        <f>""</f>
        <v/>
      </c>
      <c r="Y568" s="9" t="str">
        <f>""</f>
        <v/>
      </c>
      <c r="Z568" s="5" t="str">
        <f>""</f>
        <v/>
      </c>
      <c r="AA568" s="5" t="str">
        <f>""</f>
        <v/>
      </c>
      <c r="AB568" s="5" t="str">
        <f>""</f>
        <v/>
      </c>
      <c r="AC568" s="5" t="str">
        <f>""</f>
        <v/>
      </c>
      <c r="AD568" s="5" t="str">
        <f>""</f>
        <v/>
      </c>
      <c r="AE568" s="5" t="str">
        <f>""</f>
        <v/>
      </c>
      <c r="AF568" s="5" t="str">
        <f>""</f>
        <v/>
      </c>
      <c r="AG568" s="5" t="str">
        <f>""</f>
        <v/>
      </c>
      <c r="AH568" s="5" t="str">
        <f>""</f>
        <v/>
      </c>
      <c r="AI568" s="5" t="str">
        <f>""</f>
        <v/>
      </c>
      <c r="AJ568" s="5" t="str">
        <f>""</f>
        <v/>
      </c>
      <c r="AK568" s="8" t="str">
        <f>""</f>
        <v/>
      </c>
      <c r="AL568" s="5" t="str">
        <f>"50,00"</f>
        <v>50,00</v>
      </c>
      <c r="AM568" s="5" t="str">
        <f>"2022"</f>
        <v>2022</v>
      </c>
      <c r="AN568" s="5" t="str">
        <f t="shared" si="802"/>
        <v>нет</v>
      </c>
      <c r="AO568" s="5" t="str">
        <f>""</f>
        <v/>
      </c>
      <c r="AP568" s="5" t="str">
        <f>""</f>
        <v/>
      </c>
      <c r="AQ568" s="5" t="str">
        <f>""</f>
        <v/>
      </c>
      <c r="AR568" s="5" t="str">
        <f t="shared" si="801"/>
        <v>нет</v>
      </c>
      <c r="AS568" s="5" t="str">
        <f>""</f>
        <v/>
      </c>
      <c r="AT568" s="5" t="str">
        <f>""</f>
        <v/>
      </c>
      <c r="AU568" s="5" t="str">
        <f>""</f>
        <v/>
      </c>
      <c r="AV568" s="5" t="str">
        <f t="shared" ref="AV568:BF577" si="803">"х"</f>
        <v>х</v>
      </c>
      <c r="AW568" s="5" t="str">
        <f t="shared" si="803"/>
        <v>х</v>
      </c>
      <c r="AX568" s="5" t="str">
        <f t="shared" si="803"/>
        <v>х</v>
      </c>
      <c r="AY568" s="5" t="str">
        <f t="shared" si="803"/>
        <v>х</v>
      </c>
      <c r="AZ568" s="5" t="str">
        <f t="shared" si="803"/>
        <v>х</v>
      </c>
      <c r="BA568" s="5" t="str">
        <f t="shared" si="803"/>
        <v>х</v>
      </c>
      <c r="BB568" s="5" t="str">
        <f t="shared" si="803"/>
        <v>х</v>
      </c>
      <c r="BC568" s="5" t="str">
        <f t="shared" si="803"/>
        <v>х</v>
      </c>
      <c r="BD568" s="5" t="str">
        <f t="shared" si="803"/>
        <v>х</v>
      </c>
      <c r="BE568" s="5" t="str">
        <f t="shared" si="803"/>
        <v>х</v>
      </c>
      <c r="BF568" s="5" t="str">
        <f t="shared" si="803"/>
        <v>х</v>
      </c>
      <c r="BG568" s="5" t="str">
        <f>""</f>
        <v/>
      </c>
      <c r="BH568" s="5" t="str">
        <f>""</f>
        <v/>
      </c>
      <c r="BI568" s="5" t="str">
        <f>""</f>
        <v/>
      </c>
      <c r="BJ568" s="5" t="str">
        <f>""</f>
        <v/>
      </c>
      <c r="BK568" s="5" t="str">
        <f>""</f>
        <v/>
      </c>
      <c r="BL568" s="5" t="str">
        <f>""</f>
        <v/>
      </c>
      <c r="BM568" s="5" t="str">
        <f>""</f>
        <v/>
      </c>
      <c r="BN568" s="5" t="str">
        <f>""</f>
        <v/>
      </c>
      <c r="BO568" s="5" t="str">
        <f>""</f>
        <v/>
      </c>
      <c r="BP568" s="5" t="str">
        <f>""</f>
        <v/>
      </c>
      <c r="BQ568" s="5" t="str">
        <f>""</f>
        <v/>
      </c>
      <c r="BR568" s="5" t="str">
        <f>"2007"</f>
        <v>2007</v>
      </c>
      <c r="BS568" s="5" t="str">
        <f>"50,00"</f>
        <v>50,00</v>
      </c>
      <c r="BT568" s="5" t="str">
        <f>"2022"</f>
        <v>2022</v>
      </c>
      <c r="BU568" s="5" t="str">
        <f t="shared" si="796"/>
        <v>нет</v>
      </c>
      <c r="BV568" s="5" t="str">
        <f t="shared" si="799"/>
        <v>x</v>
      </c>
      <c r="BW568" s="5" t="str">
        <f t="shared" si="799"/>
        <v>x</v>
      </c>
      <c r="BX568" s="5" t="str">
        <f t="shared" si="799"/>
        <v>x</v>
      </c>
      <c r="BY568" s="5" t="str">
        <f t="shared" si="792"/>
        <v>нет</v>
      </c>
      <c r="BZ568" s="5" t="str">
        <f t="shared" si="798"/>
        <v>x</v>
      </c>
      <c r="CA568" s="5" t="str">
        <f t="shared" si="798"/>
        <v>x</v>
      </c>
      <c r="CB568" s="5" t="str">
        <f t="shared" si="798"/>
        <v>x</v>
      </c>
      <c r="CC568" s="5" t="str">
        <f>""</f>
        <v/>
      </c>
      <c r="CD568" s="5" t="str">
        <f>"50,00"</f>
        <v>50,00</v>
      </c>
      <c r="CE568" s="5" t="str">
        <f>"2022"</f>
        <v>2022</v>
      </c>
      <c r="CF568" s="5" t="str">
        <f>""</f>
        <v/>
      </c>
      <c r="CG568" s="5" t="str">
        <f>"50,00"</f>
        <v>50,00</v>
      </c>
      <c r="CH568" s="5" t="str">
        <f>"2022"</f>
        <v>2022</v>
      </c>
      <c r="CI568" s="5" t="str">
        <f>"50,00"</f>
        <v>50,00</v>
      </c>
      <c r="CJ568" s="5" t="str">
        <f>"2022"</f>
        <v>2022</v>
      </c>
    </row>
    <row r="569" spans="1:88" ht="11.25" customHeight="1">
      <c r="A569" s="3" t="str">
        <f>"1.556"</f>
        <v>1.556</v>
      </c>
      <c r="B569" s="4" t="str">
        <f>"пгт. Вохтога, ул. Пионерская, д.1"</f>
        <v>пгт. Вохтога, ул. Пионерская, д.1</v>
      </c>
      <c r="C569" s="7" t="str">
        <f>"1992"</f>
        <v>1992</v>
      </c>
      <c r="D569" s="5" t="str">
        <f>""</f>
        <v/>
      </c>
      <c r="E569" s="5" t="str">
        <f>"35,00"</f>
        <v>35,00</v>
      </c>
      <c r="F569" s="5" t="str">
        <f>"2026"</f>
        <v>2026</v>
      </c>
      <c r="G569" s="5" t="str">
        <f t="shared" si="800"/>
        <v>нет</v>
      </c>
      <c r="H569" s="5" t="str">
        <f>""</f>
        <v/>
      </c>
      <c r="I569" s="5" t="str">
        <f>""</f>
        <v/>
      </c>
      <c r="J569" s="5" t="str">
        <f>""</f>
        <v/>
      </c>
      <c r="K569" s="5" t="str">
        <f t="shared" si="790"/>
        <v>нет</v>
      </c>
      <c r="L569" s="5" t="str">
        <f>""</f>
        <v/>
      </c>
      <c r="M569" s="5" t="str">
        <f>""</f>
        <v/>
      </c>
      <c r="N569" s="5" t="str">
        <f>""</f>
        <v/>
      </c>
      <c r="O569" s="8" t="str">
        <f>""</f>
        <v/>
      </c>
      <c r="P569" s="5" t="str">
        <f>""</f>
        <v/>
      </c>
      <c r="Q569" s="5" t="str">
        <f>""</f>
        <v/>
      </c>
      <c r="R569" s="5" t="str">
        <f>""</f>
        <v/>
      </c>
      <c r="S569" s="5" t="str">
        <f>""</f>
        <v/>
      </c>
      <c r="T569" s="5" t="str">
        <f>""</f>
        <v/>
      </c>
      <c r="U569" s="5" t="str">
        <f>""</f>
        <v/>
      </c>
      <c r="V569" s="5" t="str">
        <f>""</f>
        <v/>
      </c>
      <c r="W569" s="5" t="str">
        <f>""</f>
        <v/>
      </c>
      <c r="X569" s="5" t="str">
        <f>""</f>
        <v/>
      </c>
      <c r="Y569" s="9" t="str">
        <f>""</f>
        <v/>
      </c>
      <c r="Z569" s="5" t="str">
        <f>""</f>
        <v/>
      </c>
      <c r="AA569" s="5" t="str">
        <f>""</f>
        <v/>
      </c>
      <c r="AB569" s="5" t="str">
        <f>""</f>
        <v/>
      </c>
      <c r="AC569" s="5" t="str">
        <f>""</f>
        <v/>
      </c>
      <c r="AD569" s="5" t="str">
        <f>""</f>
        <v/>
      </c>
      <c r="AE569" s="5" t="str">
        <f>""</f>
        <v/>
      </c>
      <c r="AF569" s="5" t="str">
        <f>""</f>
        <v/>
      </c>
      <c r="AG569" s="5" t="str">
        <f>""</f>
        <v/>
      </c>
      <c r="AH569" s="5" t="str">
        <f>""</f>
        <v/>
      </c>
      <c r="AI569" s="5" t="str">
        <f>""</f>
        <v/>
      </c>
      <c r="AJ569" s="5" t="str">
        <f>""</f>
        <v/>
      </c>
      <c r="AK569" s="8" t="str">
        <f>""</f>
        <v/>
      </c>
      <c r="AL569" s="5" t="str">
        <f>"35,00"</f>
        <v>35,00</v>
      </c>
      <c r="AM569" s="5" t="str">
        <f>"2026"</f>
        <v>2026</v>
      </c>
      <c r="AN569" s="5" t="str">
        <f t="shared" si="802"/>
        <v>нет</v>
      </c>
      <c r="AO569" s="5" t="str">
        <f>""</f>
        <v/>
      </c>
      <c r="AP569" s="5" t="str">
        <f>""</f>
        <v/>
      </c>
      <c r="AQ569" s="5" t="str">
        <f>""</f>
        <v/>
      </c>
      <c r="AR569" s="5" t="str">
        <f t="shared" si="801"/>
        <v>нет</v>
      </c>
      <c r="AS569" s="5" t="str">
        <f>""</f>
        <v/>
      </c>
      <c r="AT569" s="5" t="str">
        <f>""</f>
        <v/>
      </c>
      <c r="AU569" s="5" t="str">
        <f>""</f>
        <v/>
      </c>
      <c r="AV569" s="5" t="str">
        <f t="shared" si="803"/>
        <v>х</v>
      </c>
      <c r="AW569" s="5" t="str">
        <f t="shared" si="803"/>
        <v>х</v>
      </c>
      <c r="AX569" s="5" t="str">
        <f t="shared" si="803"/>
        <v>х</v>
      </c>
      <c r="AY569" s="5" t="str">
        <f t="shared" si="803"/>
        <v>х</v>
      </c>
      <c r="AZ569" s="5" t="str">
        <f t="shared" si="803"/>
        <v>х</v>
      </c>
      <c r="BA569" s="5" t="str">
        <f t="shared" si="803"/>
        <v>х</v>
      </c>
      <c r="BB569" s="5" t="str">
        <f t="shared" si="803"/>
        <v>х</v>
      </c>
      <c r="BC569" s="5" t="str">
        <f t="shared" si="803"/>
        <v>х</v>
      </c>
      <c r="BD569" s="5" t="str">
        <f t="shared" si="803"/>
        <v>х</v>
      </c>
      <c r="BE569" s="5" t="str">
        <f t="shared" si="803"/>
        <v>х</v>
      </c>
      <c r="BF569" s="5" t="str">
        <f t="shared" si="803"/>
        <v>х</v>
      </c>
      <c r="BG569" s="5" t="str">
        <f t="shared" ref="BG569:BQ569" si="804">"х"</f>
        <v>х</v>
      </c>
      <c r="BH569" s="5" t="str">
        <f t="shared" si="804"/>
        <v>х</v>
      </c>
      <c r="BI569" s="5" t="str">
        <f t="shared" si="804"/>
        <v>х</v>
      </c>
      <c r="BJ569" s="5" t="str">
        <f t="shared" si="804"/>
        <v>х</v>
      </c>
      <c r="BK569" s="5" t="str">
        <f t="shared" si="804"/>
        <v>х</v>
      </c>
      <c r="BL569" s="5" t="str">
        <f t="shared" si="804"/>
        <v>х</v>
      </c>
      <c r="BM569" s="5" t="str">
        <f t="shared" si="804"/>
        <v>х</v>
      </c>
      <c r="BN569" s="5" t="str">
        <f t="shared" si="804"/>
        <v>х</v>
      </c>
      <c r="BO569" s="5" t="str">
        <f t="shared" si="804"/>
        <v>х</v>
      </c>
      <c r="BP569" s="5" t="str">
        <f t="shared" si="804"/>
        <v>х</v>
      </c>
      <c r="BQ569" s="5" t="str">
        <f t="shared" si="804"/>
        <v>х</v>
      </c>
      <c r="BR569" s="5" t="str">
        <f>""</f>
        <v/>
      </c>
      <c r="BS569" s="5" t="str">
        <f>"67,00"</f>
        <v>67,00</v>
      </c>
      <c r="BT569" s="5" t="str">
        <f>"2016"</f>
        <v>2016</v>
      </c>
      <c r="BU569" s="5" t="str">
        <f t="shared" si="796"/>
        <v>нет</v>
      </c>
      <c r="BV569" s="5" t="str">
        <f t="shared" si="799"/>
        <v>x</v>
      </c>
      <c r="BW569" s="5" t="str">
        <f t="shared" si="799"/>
        <v>x</v>
      </c>
      <c r="BX569" s="5" t="str">
        <f t="shared" si="799"/>
        <v>x</v>
      </c>
      <c r="BY569" s="5" t="str">
        <f t="shared" si="792"/>
        <v>нет</v>
      </c>
      <c r="BZ569" s="5" t="str">
        <f t="shared" si="798"/>
        <v>x</v>
      </c>
      <c r="CA569" s="5" t="str">
        <f t="shared" si="798"/>
        <v>x</v>
      </c>
      <c r="CB569" s="5" t="str">
        <f t="shared" si="798"/>
        <v>x</v>
      </c>
      <c r="CC569" s="5" t="str">
        <f>""</f>
        <v/>
      </c>
      <c r="CD569" s="5" t="str">
        <f>"58,00"</f>
        <v>58,00</v>
      </c>
      <c r="CE569" s="5" t="str">
        <f>"2023"</f>
        <v>2023</v>
      </c>
      <c r="CF569" s="5" t="str">
        <f>""</f>
        <v/>
      </c>
      <c r="CG569" s="5" t="str">
        <f>"35,00"</f>
        <v>35,00</v>
      </c>
      <c r="CH569" s="5" t="str">
        <f>"2023"</f>
        <v>2023</v>
      </c>
      <c r="CI569" s="5" t="str">
        <f>"49,00"</f>
        <v>49,00</v>
      </c>
      <c r="CJ569" s="5" t="str">
        <f>"2023"</f>
        <v>2023</v>
      </c>
    </row>
    <row r="570" spans="1:88" ht="11.25" customHeight="1">
      <c r="A570" s="3" t="str">
        <f>"1.557"</f>
        <v>1.557</v>
      </c>
      <c r="B570" s="4" t="str">
        <f>"пгт. Вохтога, ул. Пионерская, д.12"</f>
        <v>пгт. Вохтога, ул. Пионерская, д.12</v>
      </c>
      <c r="C570" s="7" t="str">
        <f>"1960"</f>
        <v>1960</v>
      </c>
      <c r="D570" s="5" t="str">
        <f>""</f>
        <v/>
      </c>
      <c r="E570" s="5" t="str">
        <f>"20,00"</f>
        <v>20,00</v>
      </c>
      <c r="F570" s="5" t="str">
        <f>"2035"</f>
        <v>2035</v>
      </c>
      <c r="G570" s="5" t="str">
        <f t="shared" si="800"/>
        <v>нет</v>
      </c>
      <c r="H570" s="5" t="str">
        <f>""</f>
        <v/>
      </c>
      <c r="I570" s="5" t="str">
        <f>""</f>
        <v/>
      </c>
      <c r="J570" s="5" t="str">
        <f>""</f>
        <v/>
      </c>
      <c r="K570" s="5" t="str">
        <f t="shared" si="790"/>
        <v>нет</v>
      </c>
      <c r="L570" s="5" t="str">
        <f>""</f>
        <v/>
      </c>
      <c r="M570" s="5" t="str">
        <f>""</f>
        <v/>
      </c>
      <c r="N570" s="5" t="str">
        <f>""</f>
        <v/>
      </c>
      <c r="O570" s="8" t="str">
        <f>""</f>
        <v/>
      </c>
      <c r="P570" s="5" t="str">
        <f>""</f>
        <v/>
      </c>
      <c r="Q570" s="5" t="str">
        <f>""</f>
        <v/>
      </c>
      <c r="R570" s="5" t="str">
        <f>""</f>
        <v/>
      </c>
      <c r="S570" s="5" t="str">
        <f>""</f>
        <v/>
      </c>
      <c r="T570" s="5" t="str">
        <f>""</f>
        <v/>
      </c>
      <c r="U570" s="5" t="str">
        <f>""</f>
        <v/>
      </c>
      <c r="V570" s="5" t="str">
        <f>""</f>
        <v/>
      </c>
      <c r="W570" s="5" t="str">
        <f>""</f>
        <v/>
      </c>
      <c r="X570" s="5" t="str">
        <f>""</f>
        <v/>
      </c>
      <c r="Y570" s="9" t="str">
        <f>""</f>
        <v/>
      </c>
      <c r="Z570" s="5" t="str">
        <f>""</f>
        <v/>
      </c>
      <c r="AA570" s="5" t="str">
        <f>""</f>
        <v/>
      </c>
      <c r="AB570" s="5" t="str">
        <f>""</f>
        <v/>
      </c>
      <c r="AC570" s="5" t="str">
        <f>""</f>
        <v/>
      </c>
      <c r="AD570" s="5" t="str">
        <f>""</f>
        <v/>
      </c>
      <c r="AE570" s="5" t="str">
        <f>""</f>
        <v/>
      </c>
      <c r="AF570" s="5" t="str">
        <f>""</f>
        <v/>
      </c>
      <c r="AG570" s="5" t="str">
        <f>""</f>
        <v/>
      </c>
      <c r="AH570" s="5" t="str">
        <f>""</f>
        <v/>
      </c>
      <c r="AI570" s="5" t="str">
        <f>""</f>
        <v/>
      </c>
      <c r="AJ570" s="5" t="str">
        <f>""</f>
        <v/>
      </c>
      <c r="AK570" s="8" t="str">
        <f>""</f>
        <v/>
      </c>
      <c r="AL570" s="5" t="str">
        <f>"35,00"</f>
        <v>35,00</v>
      </c>
      <c r="AM570" s="5" t="str">
        <f>"2035"</f>
        <v>2035</v>
      </c>
      <c r="AN570" s="5" t="str">
        <f t="shared" si="802"/>
        <v>нет</v>
      </c>
      <c r="AO570" s="5" t="str">
        <f>""</f>
        <v/>
      </c>
      <c r="AP570" s="5" t="str">
        <f>""</f>
        <v/>
      </c>
      <c r="AQ570" s="5" t="str">
        <f>""</f>
        <v/>
      </c>
      <c r="AR570" s="5" t="str">
        <f t="shared" si="801"/>
        <v>нет</v>
      </c>
      <c r="AS570" s="5" t="str">
        <f>""</f>
        <v/>
      </c>
      <c r="AT570" s="5" t="str">
        <f>""</f>
        <v/>
      </c>
      <c r="AU570" s="5" t="str">
        <f>""</f>
        <v/>
      </c>
      <c r="AV570" s="5" t="str">
        <f t="shared" si="803"/>
        <v>х</v>
      </c>
      <c r="AW570" s="5" t="str">
        <f t="shared" si="803"/>
        <v>х</v>
      </c>
      <c r="AX570" s="5" t="str">
        <f t="shared" si="803"/>
        <v>х</v>
      </c>
      <c r="AY570" s="5" t="str">
        <f t="shared" si="803"/>
        <v>х</v>
      </c>
      <c r="AZ570" s="5" t="str">
        <f t="shared" si="803"/>
        <v>х</v>
      </c>
      <c r="BA570" s="5" t="str">
        <f t="shared" si="803"/>
        <v>х</v>
      </c>
      <c r="BB570" s="5" t="str">
        <f t="shared" si="803"/>
        <v>х</v>
      </c>
      <c r="BC570" s="5" t="str">
        <f t="shared" si="803"/>
        <v>х</v>
      </c>
      <c r="BD570" s="5" t="str">
        <f t="shared" si="803"/>
        <v>х</v>
      </c>
      <c r="BE570" s="5" t="str">
        <f t="shared" si="803"/>
        <v>х</v>
      </c>
      <c r="BF570" s="5" t="str">
        <f t="shared" si="803"/>
        <v>х</v>
      </c>
      <c r="BG570" s="5" t="str">
        <f>""</f>
        <v/>
      </c>
      <c r="BH570" s="5" t="str">
        <f>""</f>
        <v/>
      </c>
      <c r="BI570" s="5" t="str">
        <f>""</f>
        <v/>
      </c>
      <c r="BJ570" s="5" t="str">
        <f>""</f>
        <v/>
      </c>
      <c r="BK570" s="5" t="str">
        <f>""</f>
        <v/>
      </c>
      <c r="BL570" s="5" t="str">
        <f>""</f>
        <v/>
      </c>
      <c r="BM570" s="5" t="str">
        <f>""</f>
        <v/>
      </c>
      <c r="BN570" s="5" t="str">
        <f>""</f>
        <v/>
      </c>
      <c r="BO570" s="5" t="str">
        <f>""</f>
        <v/>
      </c>
      <c r="BP570" s="5" t="str">
        <f>""</f>
        <v/>
      </c>
      <c r="BQ570" s="5" t="str">
        <f>""</f>
        <v/>
      </c>
      <c r="BR570" s="5" t="str">
        <f>""</f>
        <v/>
      </c>
      <c r="BS570" s="5" t="str">
        <f>"54,00"</f>
        <v>54,00</v>
      </c>
      <c r="BT570" s="5" t="str">
        <f>"2022"</f>
        <v>2022</v>
      </c>
      <c r="BU570" s="5" t="str">
        <f t="shared" si="796"/>
        <v>нет</v>
      </c>
      <c r="BV570" s="5" t="str">
        <f t="shared" si="799"/>
        <v>x</v>
      </c>
      <c r="BW570" s="5" t="str">
        <f t="shared" si="799"/>
        <v>x</v>
      </c>
      <c r="BX570" s="5" t="str">
        <f t="shared" si="799"/>
        <v>x</v>
      </c>
      <c r="BY570" s="5" t="str">
        <f t="shared" ref="BY570:BY601" si="805">"нет"</f>
        <v>нет</v>
      </c>
      <c r="BZ570" s="5" t="str">
        <f t="shared" si="798"/>
        <v>x</v>
      </c>
      <c r="CA570" s="5" t="str">
        <f t="shared" si="798"/>
        <v>x</v>
      </c>
      <c r="CB570" s="5" t="str">
        <f t="shared" si="798"/>
        <v>x</v>
      </c>
      <c r="CC570" s="5" t="str">
        <f>""</f>
        <v/>
      </c>
      <c r="CD570" s="5" t="str">
        <f>"40,00"</f>
        <v>40,00</v>
      </c>
      <c r="CE570" s="5" t="str">
        <f>"2024"</f>
        <v>2024</v>
      </c>
      <c r="CF570" s="5" t="str">
        <f>""</f>
        <v/>
      </c>
      <c r="CG570" s="5" t="str">
        <f>"35,00"</f>
        <v>35,00</v>
      </c>
      <c r="CH570" s="5" t="str">
        <f>"2024"</f>
        <v>2024</v>
      </c>
      <c r="CI570" s="5" t="str">
        <f>"44,00"</f>
        <v>44,00</v>
      </c>
      <c r="CJ570" s="5" t="str">
        <f>"2024"</f>
        <v>2024</v>
      </c>
    </row>
    <row r="571" spans="1:88" ht="11.25" customHeight="1">
      <c r="A571" s="3" t="str">
        <f>"1.558"</f>
        <v>1.558</v>
      </c>
      <c r="B571" s="4" t="str">
        <f>"пгт. Вохтога, ул. Пионерская, д.13"</f>
        <v>пгт. Вохтога, ул. Пионерская, д.13</v>
      </c>
      <c r="C571" s="7" t="str">
        <f>"1990"</f>
        <v>1990</v>
      </c>
      <c r="D571" s="5" t="str">
        <f>""</f>
        <v/>
      </c>
      <c r="E571" s="5" t="str">
        <f>"12,00"</f>
        <v>12,00</v>
      </c>
      <c r="F571" s="5" t="str">
        <f>"2027"</f>
        <v>2027</v>
      </c>
      <c r="G571" s="5" t="str">
        <f t="shared" si="800"/>
        <v>нет</v>
      </c>
      <c r="H571" s="5" t="str">
        <f>""</f>
        <v/>
      </c>
      <c r="I571" s="5" t="str">
        <f>""</f>
        <v/>
      </c>
      <c r="J571" s="5" t="str">
        <f>""</f>
        <v/>
      </c>
      <c r="K571" s="5" t="str">
        <f t="shared" si="790"/>
        <v>нет</v>
      </c>
      <c r="L571" s="5" t="str">
        <f>""</f>
        <v/>
      </c>
      <c r="M571" s="5" t="str">
        <f>""</f>
        <v/>
      </c>
      <c r="N571" s="5" t="str">
        <f>""</f>
        <v/>
      </c>
      <c r="O571" s="8" t="str">
        <f>""</f>
        <v/>
      </c>
      <c r="P571" s="5" t="str">
        <f>""</f>
        <v/>
      </c>
      <c r="Q571" s="5" t="str">
        <f>""</f>
        <v/>
      </c>
      <c r="R571" s="5" t="str">
        <f>""</f>
        <v/>
      </c>
      <c r="S571" s="5" t="str">
        <f>""</f>
        <v/>
      </c>
      <c r="T571" s="5" t="str">
        <f>""</f>
        <v/>
      </c>
      <c r="U571" s="5" t="str">
        <f>""</f>
        <v/>
      </c>
      <c r="V571" s="5" t="str">
        <f>""</f>
        <v/>
      </c>
      <c r="W571" s="5" t="str">
        <f>""</f>
        <v/>
      </c>
      <c r="X571" s="5" t="str">
        <f>""</f>
        <v/>
      </c>
      <c r="Y571" s="9" t="str">
        <f>""</f>
        <v/>
      </c>
      <c r="Z571" s="5" t="str">
        <f>""</f>
        <v/>
      </c>
      <c r="AA571" s="5" t="str">
        <f>""</f>
        <v/>
      </c>
      <c r="AB571" s="5" t="str">
        <f>""</f>
        <v/>
      </c>
      <c r="AC571" s="5" t="str">
        <f>""</f>
        <v/>
      </c>
      <c r="AD571" s="5" t="str">
        <f>""</f>
        <v/>
      </c>
      <c r="AE571" s="5" t="str">
        <f>""</f>
        <v/>
      </c>
      <c r="AF571" s="5" t="str">
        <f>""</f>
        <v/>
      </c>
      <c r="AG571" s="5" t="str">
        <f>""</f>
        <v/>
      </c>
      <c r="AH571" s="5" t="str">
        <f>""</f>
        <v/>
      </c>
      <c r="AI571" s="5" t="str">
        <f>""</f>
        <v/>
      </c>
      <c r="AJ571" s="5" t="str">
        <f>""</f>
        <v/>
      </c>
      <c r="AK571" s="8" t="str">
        <f>""</f>
        <v/>
      </c>
      <c r="AL571" s="5" t="str">
        <f>"10,00"</f>
        <v>10,00</v>
      </c>
      <c r="AM571" s="5" t="str">
        <f>"2027"</f>
        <v>2027</v>
      </c>
      <c r="AN571" s="5" t="str">
        <f t="shared" si="802"/>
        <v>нет</v>
      </c>
      <c r="AO571" s="5" t="str">
        <f>""</f>
        <v/>
      </c>
      <c r="AP571" s="5" t="str">
        <f>""</f>
        <v/>
      </c>
      <c r="AQ571" s="5" t="str">
        <f>""</f>
        <v/>
      </c>
      <c r="AR571" s="5" t="str">
        <f t="shared" si="801"/>
        <v>нет</v>
      </c>
      <c r="AS571" s="5" t="str">
        <f>""</f>
        <v/>
      </c>
      <c r="AT571" s="5" t="str">
        <f>""</f>
        <v/>
      </c>
      <c r="AU571" s="5" t="str">
        <f>""</f>
        <v/>
      </c>
      <c r="AV571" s="5" t="str">
        <f t="shared" si="803"/>
        <v>х</v>
      </c>
      <c r="AW571" s="5" t="str">
        <f t="shared" si="803"/>
        <v>х</v>
      </c>
      <c r="AX571" s="5" t="str">
        <f t="shared" si="803"/>
        <v>х</v>
      </c>
      <c r="AY571" s="5" t="str">
        <f t="shared" si="803"/>
        <v>х</v>
      </c>
      <c r="AZ571" s="5" t="str">
        <f t="shared" si="803"/>
        <v>х</v>
      </c>
      <c r="BA571" s="5" t="str">
        <f t="shared" si="803"/>
        <v>х</v>
      </c>
      <c r="BB571" s="5" t="str">
        <f t="shared" si="803"/>
        <v>х</v>
      </c>
      <c r="BC571" s="5" t="str">
        <f t="shared" si="803"/>
        <v>х</v>
      </c>
      <c r="BD571" s="5" t="str">
        <f t="shared" si="803"/>
        <v>х</v>
      </c>
      <c r="BE571" s="5" t="str">
        <f t="shared" si="803"/>
        <v>х</v>
      </c>
      <c r="BF571" s="5" t="str">
        <f t="shared" si="803"/>
        <v>х</v>
      </c>
      <c r="BG571" s="5" t="str">
        <f>""</f>
        <v/>
      </c>
      <c r="BH571" s="5" t="str">
        <f>""</f>
        <v/>
      </c>
      <c r="BI571" s="5" t="str">
        <f>""</f>
        <v/>
      </c>
      <c r="BJ571" s="5" t="str">
        <f>""</f>
        <v/>
      </c>
      <c r="BK571" s="5" t="str">
        <f>""</f>
        <v/>
      </c>
      <c r="BL571" s="5" t="str">
        <f>""</f>
        <v/>
      </c>
      <c r="BM571" s="5" t="str">
        <f>""</f>
        <v/>
      </c>
      <c r="BN571" s="5" t="str">
        <f>""</f>
        <v/>
      </c>
      <c r="BO571" s="5" t="str">
        <f>""</f>
        <v/>
      </c>
      <c r="BP571" s="5" t="str">
        <f>""</f>
        <v/>
      </c>
      <c r="BQ571" s="5" t="str">
        <f>""</f>
        <v/>
      </c>
      <c r="BR571" s="5" t="str">
        <f>"2005"</f>
        <v>2005</v>
      </c>
      <c r="BS571" s="5" t="str">
        <f>"8,00"</f>
        <v>8,00</v>
      </c>
      <c r="BT571" s="5" t="str">
        <f>"2035"</f>
        <v>2035</v>
      </c>
      <c r="BU571" s="5" t="str">
        <f t="shared" si="796"/>
        <v>нет</v>
      </c>
      <c r="BV571" s="5" t="str">
        <f t="shared" si="799"/>
        <v>x</v>
      </c>
      <c r="BW571" s="5" t="str">
        <f t="shared" si="799"/>
        <v>x</v>
      </c>
      <c r="BX571" s="5" t="str">
        <f t="shared" si="799"/>
        <v>x</v>
      </c>
      <c r="BY571" s="5" t="str">
        <f t="shared" si="805"/>
        <v>нет</v>
      </c>
      <c r="BZ571" s="5" t="str">
        <f t="shared" si="798"/>
        <v>x</v>
      </c>
      <c r="CA571" s="5" t="str">
        <f t="shared" si="798"/>
        <v>x</v>
      </c>
      <c r="CB571" s="5" t="str">
        <f t="shared" si="798"/>
        <v>x</v>
      </c>
      <c r="CC571" s="5" t="str">
        <f>""</f>
        <v/>
      </c>
      <c r="CD571" s="5" t="str">
        <f>"42,00"</f>
        <v>42,00</v>
      </c>
      <c r="CE571" s="5" t="str">
        <f>"2020"</f>
        <v>2020</v>
      </c>
      <c r="CF571" s="5" t="str">
        <f>""</f>
        <v/>
      </c>
      <c r="CG571" s="5" t="str">
        <f>"48,00"</f>
        <v>48,00</v>
      </c>
      <c r="CH571" s="5" t="str">
        <f>"2020"</f>
        <v>2020</v>
      </c>
      <c r="CI571" s="5" t="str">
        <f>"27,00"</f>
        <v>27,00</v>
      </c>
      <c r="CJ571" s="5" t="str">
        <f>"2027"</f>
        <v>2027</v>
      </c>
    </row>
    <row r="572" spans="1:88" ht="11.25" customHeight="1">
      <c r="A572" s="3" t="str">
        <f>"1.559"</f>
        <v>1.559</v>
      </c>
      <c r="B572" s="4" t="str">
        <f>"пгт. Вохтога, ул. Пионерская, д.14"</f>
        <v>пгт. Вохтога, ул. Пионерская, д.14</v>
      </c>
      <c r="C572" s="7" t="str">
        <f>"1996"</f>
        <v>1996</v>
      </c>
      <c r="D572" s="5" t="str">
        <f>""</f>
        <v/>
      </c>
      <c r="E572" s="5" t="str">
        <f>"35,00"</f>
        <v>35,00</v>
      </c>
      <c r="F572" s="5" t="str">
        <f>"2023"</f>
        <v>2023</v>
      </c>
      <c r="G572" s="5" t="str">
        <f t="shared" si="800"/>
        <v>нет</v>
      </c>
      <c r="H572" s="5" t="str">
        <f>""</f>
        <v/>
      </c>
      <c r="I572" s="5" t="str">
        <f>""</f>
        <v/>
      </c>
      <c r="J572" s="5" t="str">
        <f>""</f>
        <v/>
      </c>
      <c r="K572" s="5" t="str">
        <f t="shared" si="790"/>
        <v>нет</v>
      </c>
      <c r="L572" s="5" t="str">
        <f>""</f>
        <v/>
      </c>
      <c r="M572" s="5" t="str">
        <f>""</f>
        <v/>
      </c>
      <c r="N572" s="5" t="str">
        <f>""</f>
        <v/>
      </c>
      <c r="O572" s="8" t="str">
        <f>""</f>
        <v/>
      </c>
      <c r="P572" s="5" t="str">
        <f>""</f>
        <v/>
      </c>
      <c r="Q572" s="5" t="str">
        <f>""</f>
        <v/>
      </c>
      <c r="R572" s="5" t="str">
        <f>""</f>
        <v/>
      </c>
      <c r="S572" s="5" t="str">
        <f>""</f>
        <v/>
      </c>
      <c r="T572" s="5" t="str">
        <f>""</f>
        <v/>
      </c>
      <c r="U572" s="5" t="str">
        <f>""</f>
        <v/>
      </c>
      <c r="V572" s="5" t="str">
        <f>""</f>
        <v/>
      </c>
      <c r="W572" s="5" t="str">
        <f>""</f>
        <v/>
      </c>
      <c r="X572" s="5" t="str">
        <f>""</f>
        <v/>
      </c>
      <c r="Y572" s="9" t="str">
        <f>""</f>
        <v/>
      </c>
      <c r="Z572" s="5" t="str">
        <f>""</f>
        <v/>
      </c>
      <c r="AA572" s="5" t="str">
        <f>""</f>
        <v/>
      </c>
      <c r="AB572" s="5" t="str">
        <f>""</f>
        <v/>
      </c>
      <c r="AC572" s="5" t="str">
        <f>""</f>
        <v/>
      </c>
      <c r="AD572" s="5" t="str">
        <f>""</f>
        <v/>
      </c>
      <c r="AE572" s="5" t="str">
        <f>""</f>
        <v/>
      </c>
      <c r="AF572" s="5" t="str">
        <f>""</f>
        <v/>
      </c>
      <c r="AG572" s="5" t="str">
        <f>""</f>
        <v/>
      </c>
      <c r="AH572" s="5" t="str">
        <f>""</f>
        <v/>
      </c>
      <c r="AI572" s="5" t="str">
        <f>""</f>
        <v/>
      </c>
      <c r="AJ572" s="5" t="str">
        <f>""</f>
        <v/>
      </c>
      <c r="AK572" s="8" t="str">
        <f>""</f>
        <v/>
      </c>
      <c r="AL572" s="5" t="str">
        <f>"20,00"</f>
        <v>20,00</v>
      </c>
      <c r="AM572" s="5" t="str">
        <f>"2020"</f>
        <v>2020</v>
      </c>
      <c r="AN572" s="5" t="str">
        <f t="shared" si="802"/>
        <v>нет</v>
      </c>
      <c r="AO572" s="5" t="str">
        <f>""</f>
        <v/>
      </c>
      <c r="AP572" s="5" t="str">
        <f>""</f>
        <v/>
      </c>
      <c r="AQ572" s="5" t="str">
        <f>""</f>
        <v/>
      </c>
      <c r="AR572" s="5" t="str">
        <f t="shared" si="801"/>
        <v>нет</v>
      </c>
      <c r="AS572" s="5" t="str">
        <f>""</f>
        <v/>
      </c>
      <c r="AT572" s="5" t="str">
        <f>""</f>
        <v/>
      </c>
      <c r="AU572" s="5" t="str">
        <f>""</f>
        <v/>
      </c>
      <c r="AV572" s="5" t="str">
        <f t="shared" si="803"/>
        <v>х</v>
      </c>
      <c r="AW572" s="5" t="str">
        <f t="shared" si="803"/>
        <v>х</v>
      </c>
      <c r="AX572" s="5" t="str">
        <f t="shared" si="803"/>
        <v>х</v>
      </c>
      <c r="AY572" s="5" t="str">
        <f t="shared" si="803"/>
        <v>х</v>
      </c>
      <c r="AZ572" s="5" t="str">
        <f t="shared" si="803"/>
        <v>х</v>
      </c>
      <c r="BA572" s="5" t="str">
        <f t="shared" si="803"/>
        <v>х</v>
      </c>
      <c r="BB572" s="5" t="str">
        <f t="shared" si="803"/>
        <v>х</v>
      </c>
      <c r="BC572" s="5" t="str">
        <f t="shared" si="803"/>
        <v>х</v>
      </c>
      <c r="BD572" s="5" t="str">
        <f t="shared" si="803"/>
        <v>х</v>
      </c>
      <c r="BE572" s="5" t="str">
        <f t="shared" si="803"/>
        <v>х</v>
      </c>
      <c r="BF572" s="5" t="str">
        <f t="shared" si="803"/>
        <v>х</v>
      </c>
      <c r="BG572" s="5" t="str">
        <f>""</f>
        <v/>
      </c>
      <c r="BH572" s="5" t="str">
        <f>""</f>
        <v/>
      </c>
      <c r="BI572" s="5" t="str">
        <f>""</f>
        <v/>
      </c>
      <c r="BJ572" s="5" t="str">
        <f>""</f>
        <v/>
      </c>
      <c r="BK572" s="5" t="str">
        <f>""</f>
        <v/>
      </c>
      <c r="BL572" s="5" t="str">
        <f>""</f>
        <v/>
      </c>
      <c r="BM572" s="5" t="str">
        <f>""</f>
        <v/>
      </c>
      <c r="BN572" s="5" t="str">
        <f>""</f>
        <v/>
      </c>
      <c r="BO572" s="5" t="str">
        <f>""</f>
        <v/>
      </c>
      <c r="BP572" s="5" t="str">
        <f>""</f>
        <v/>
      </c>
      <c r="BQ572" s="5" t="str">
        <f>""</f>
        <v/>
      </c>
      <c r="BR572" s="5" t="str">
        <f>"2007"</f>
        <v>2007</v>
      </c>
      <c r="BS572" s="5" t="str">
        <f>"8,00"</f>
        <v>8,00</v>
      </c>
      <c r="BT572" s="5" t="str">
        <f>"2035"</f>
        <v>2035</v>
      </c>
      <c r="BU572" s="5" t="str">
        <f t="shared" si="796"/>
        <v>нет</v>
      </c>
      <c r="BV572" s="5" t="str">
        <f t="shared" si="799"/>
        <v>x</v>
      </c>
      <c r="BW572" s="5" t="str">
        <f t="shared" si="799"/>
        <v>x</v>
      </c>
      <c r="BX572" s="5" t="str">
        <f t="shared" si="799"/>
        <v>x</v>
      </c>
      <c r="BY572" s="5" t="str">
        <f t="shared" si="805"/>
        <v>нет</v>
      </c>
      <c r="BZ572" s="5" t="str">
        <f t="shared" si="798"/>
        <v>x</v>
      </c>
      <c r="CA572" s="5" t="str">
        <f t="shared" si="798"/>
        <v>x</v>
      </c>
      <c r="CB572" s="5" t="str">
        <f t="shared" si="798"/>
        <v>x</v>
      </c>
      <c r="CC572" s="5" t="str">
        <f>""</f>
        <v/>
      </c>
      <c r="CD572" s="5" t="str">
        <f>"29,00"</f>
        <v>29,00</v>
      </c>
      <c r="CE572" s="5" t="str">
        <f>"2023"</f>
        <v>2023</v>
      </c>
      <c r="CF572" s="5" t="str">
        <f>""</f>
        <v/>
      </c>
      <c r="CG572" s="5" t="str">
        <f>"29,00"</f>
        <v>29,00</v>
      </c>
      <c r="CH572" s="5" t="str">
        <f>"2023"</f>
        <v>2023</v>
      </c>
      <c r="CI572" s="5" t="str">
        <f>"42,00"</f>
        <v>42,00</v>
      </c>
      <c r="CJ572" s="5" t="str">
        <f>"2023"</f>
        <v>2023</v>
      </c>
    </row>
    <row r="573" spans="1:88" ht="11.25" customHeight="1">
      <c r="A573" s="3" t="str">
        <f>"1.560"</f>
        <v>1.560</v>
      </c>
      <c r="B573" s="4" t="str">
        <f>"пгт. Вохтога, ул. Пионерская, д.3"</f>
        <v>пгт. Вохтога, ул. Пионерская, д.3</v>
      </c>
      <c r="C573" s="7" t="str">
        <f>"1990"</f>
        <v>1990</v>
      </c>
      <c r="D573" s="5" t="str">
        <f>""</f>
        <v/>
      </c>
      <c r="E573" s="5" t="str">
        <f>"30,00"</f>
        <v>30,00</v>
      </c>
      <c r="F573" s="5" t="str">
        <f>"2024"</f>
        <v>2024</v>
      </c>
      <c r="G573" s="5" t="str">
        <f t="shared" si="800"/>
        <v>нет</v>
      </c>
      <c r="H573" s="5" t="str">
        <f>""</f>
        <v/>
      </c>
      <c r="I573" s="5" t="str">
        <f>""</f>
        <v/>
      </c>
      <c r="J573" s="5" t="str">
        <f>""</f>
        <v/>
      </c>
      <c r="K573" s="5" t="str">
        <f t="shared" si="790"/>
        <v>нет</v>
      </c>
      <c r="L573" s="5" t="str">
        <f>""</f>
        <v/>
      </c>
      <c r="M573" s="5" t="str">
        <f>""</f>
        <v/>
      </c>
      <c r="N573" s="5" t="str">
        <f>""</f>
        <v/>
      </c>
      <c r="O573" s="8" t="str">
        <f>""</f>
        <v/>
      </c>
      <c r="P573" s="5" t="str">
        <f>""</f>
        <v/>
      </c>
      <c r="Q573" s="5" t="str">
        <f>""</f>
        <v/>
      </c>
      <c r="R573" s="5" t="str">
        <f>""</f>
        <v/>
      </c>
      <c r="S573" s="5" t="str">
        <f>""</f>
        <v/>
      </c>
      <c r="T573" s="5" t="str">
        <f>""</f>
        <v/>
      </c>
      <c r="U573" s="5" t="str">
        <f>""</f>
        <v/>
      </c>
      <c r="V573" s="5" t="str">
        <f>""</f>
        <v/>
      </c>
      <c r="W573" s="5" t="str">
        <f>""</f>
        <v/>
      </c>
      <c r="X573" s="5" t="str">
        <f>""</f>
        <v/>
      </c>
      <c r="Y573" s="9" t="str">
        <f>""</f>
        <v/>
      </c>
      <c r="Z573" s="5" t="str">
        <f>""</f>
        <v/>
      </c>
      <c r="AA573" s="5" t="str">
        <f>""</f>
        <v/>
      </c>
      <c r="AB573" s="5" t="str">
        <f>""</f>
        <v/>
      </c>
      <c r="AC573" s="5" t="str">
        <f>""</f>
        <v/>
      </c>
      <c r="AD573" s="5" t="str">
        <f>""</f>
        <v/>
      </c>
      <c r="AE573" s="5" t="str">
        <f>""</f>
        <v/>
      </c>
      <c r="AF573" s="5" t="str">
        <f>""</f>
        <v/>
      </c>
      <c r="AG573" s="5" t="str">
        <f>""</f>
        <v/>
      </c>
      <c r="AH573" s="5" t="str">
        <f>""</f>
        <v/>
      </c>
      <c r="AI573" s="5" t="str">
        <f>""</f>
        <v/>
      </c>
      <c r="AJ573" s="5" t="str">
        <f>""</f>
        <v/>
      </c>
      <c r="AK573" s="8" t="str">
        <f>""</f>
        <v/>
      </c>
      <c r="AL573" s="5" t="str">
        <f>"26,00"</f>
        <v>26,00</v>
      </c>
      <c r="AM573" s="5" t="str">
        <f>"2024"</f>
        <v>2024</v>
      </c>
      <c r="AN573" s="5" t="str">
        <f t="shared" si="802"/>
        <v>нет</v>
      </c>
      <c r="AO573" s="5" t="str">
        <f>""</f>
        <v/>
      </c>
      <c r="AP573" s="5" t="str">
        <f>""</f>
        <v/>
      </c>
      <c r="AQ573" s="5" t="str">
        <f>""</f>
        <v/>
      </c>
      <c r="AR573" s="5" t="str">
        <f t="shared" si="801"/>
        <v>нет</v>
      </c>
      <c r="AS573" s="5" t="str">
        <f>""</f>
        <v/>
      </c>
      <c r="AT573" s="5" t="str">
        <f>""</f>
        <v/>
      </c>
      <c r="AU573" s="5" t="str">
        <f>""</f>
        <v/>
      </c>
      <c r="AV573" s="5" t="str">
        <f t="shared" si="803"/>
        <v>х</v>
      </c>
      <c r="AW573" s="5" t="str">
        <f t="shared" si="803"/>
        <v>х</v>
      </c>
      <c r="AX573" s="5" t="str">
        <f t="shared" si="803"/>
        <v>х</v>
      </c>
      <c r="AY573" s="5" t="str">
        <f t="shared" si="803"/>
        <v>х</v>
      </c>
      <c r="AZ573" s="5" t="str">
        <f t="shared" si="803"/>
        <v>х</v>
      </c>
      <c r="BA573" s="5" t="str">
        <f t="shared" si="803"/>
        <v>х</v>
      </c>
      <c r="BB573" s="5" t="str">
        <f t="shared" si="803"/>
        <v>х</v>
      </c>
      <c r="BC573" s="5" t="str">
        <f t="shared" si="803"/>
        <v>х</v>
      </c>
      <c r="BD573" s="5" t="str">
        <f t="shared" si="803"/>
        <v>х</v>
      </c>
      <c r="BE573" s="5" t="str">
        <f t="shared" si="803"/>
        <v>х</v>
      </c>
      <c r="BF573" s="5" t="str">
        <f t="shared" si="803"/>
        <v>х</v>
      </c>
      <c r="BG573" s="5" t="str">
        <f>""</f>
        <v/>
      </c>
      <c r="BH573" s="5" t="str">
        <f>""</f>
        <v/>
      </c>
      <c r="BI573" s="5" t="str">
        <f>""</f>
        <v/>
      </c>
      <c r="BJ573" s="5" t="str">
        <f>""</f>
        <v/>
      </c>
      <c r="BK573" s="5" t="str">
        <f>""</f>
        <v/>
      </c>
      <c r="BL573" s="5" t="str">
        <f>""</f>
        <v/>
      </c>
      <c r="BM573" s="5" t="str">
        <f>""</f>
        <v/>
      </c>
      <c r="BN573" s="5" t="str">
        <f>""</f>
        <v/>
      </c>
      <c r="BO573" s="5" t="str">
        <f>""</f>
        <v/>
      </c>
      <c r="BP573" s="5" t="str">
        <f>""</f>
        <v/>
      </c>
      <c r="BQ573" s="5" t="str">
        <f>""</f>
        <v/>
      </c>
      <c r="BR573" s="5" t="str">
        <f>""</f>
        <v/>
      </c>
      <c r="BS573" s="5" t="str">
        <f>"58,00"</f>
        <v>58,00</v>
      </c>
      <c r="BT573" s="5" t="str">
        <f>"2020"</f>
        <v>2020</v>
      </c>
      <c r="BU573" s="5" t="str">
        <f t="shared" si="796"/>
        <v>нет</v>
      </c>
      <c r="BV573" s="5" t="str">
        <f t="shared" si="799"/>
        <v>x</v>
      </c>
      <c r="BW573" s="5" t="str">
        <f t="shared" si="799"/>
        <v>x</v>
      </c>
      <c r="BX573" s="5" t="str">
        <f t="shared" si="799"/>
        <v>x</v>
      </c>
      <c r="BY573" s="5" t="str">
        <f t="shared" si="805"/>
        <v>нет</v>
      </c>
      <c r="BZ573" s="5" t="str">
        <f t="shared" si="798"/>
        <v>x</v>
      </c>
      <c r="CA573" s="5" t="str">
        <f t="shared" si="798"/>
        <v>x</v>
      </c>
      <c r="CB573" s="5" t="str">
        <f t="shared" si="798"/>
        <v>x</v>
      </c>
      <c r="CC573" s="5" t="str">
        <f>""</f>
        <v/>
      </c>
      <c r="CD573" s="5" t="str">
        <f>"35,00"</f>
        <v>35,00</v>
      </c>
      <c r="CE573" s="5" t="str">
        <f>"2024"</f>
        <v>2024</v>
      </c>
      <c r="CF573" s="5" t="str">
        <f>""</f>
        <v/>
      </c>
      <c r="CG573" s="5" t="str">
        <f>"35,00"</f>
        <v>35,00</v>
      </c>
      <c r="CH573" s="5" t="str">
        <f>"2024"</f>
        <v>2024</v>
      </c>
      <c r="CI573" s="5" t="str">
        <f>"35,00"</f>
        <v>35,00</v>
      </c>
      <c r="CJ573" s="5" t="str">
        <f>"2024"</f>
        <v>2024</v>
      </c>
    </row>
    <row r="574" spans="1:88" ht="11.25" customHeight="1">
      <c r="A574" s="3" t="str">
        <f>"1.561"</f>
        <v>1.561</v>
      </c>
      <c r="B574" s="4" t="str">
        <f>"пгт. Вохтога, ул. Пионерская, д.4"</f>
        <v>пгт. Вохтога, ул. Пионерская, д.4</v>
      </c>
      <c r="C574" s="7" t="str">
        <f>"1990"</f>
        <v>1990</v>
      </c>
      <c r="D574" s="5" t="str">
        <f>""</f>
        <v/>
      </c>
      <c r="E574" s="5" t="str">
        <f>"35,00"</f>
        <v>35,00</v>
      </c>
      <c r="F574" s="5" t="str">
        <f>"2024"</f>
        <v>2024</v>
      </c>
      <c r="G574" s="5" t="str">
        <f t="shared" si="800"/>
        <v>нет</v>
      </c>
      <c r="H574" s="5" t="str">
        <f>""</f>
        <v/>
      </c>
      <c r="I574" s="5" t="str">
        <f>""</f>
        <v/>
      </c>
      <c r="J574" s="5" t="str">
        <f>""</f>
        <v/>
      </c>
      <c r="K574" s="5" t="str">
        <f t="shared" si="790"/>
        <v>нет</v>
      </c>
      <c r="L574" s="5" t="str">
        <f>""</f>
        <v/>
      </c>
      <c r="M574" s="5" t="str">
        <f>""</f>
        <v/>
      </c>
      <c r="N574" s="5" t="str">
        <f>""</f>
        <v/>
      </c>
      <c r="O574" s="8" t="str">
        <f>""</f>
        <v/>
      </c>
      <c r="P574" s="5" t="str">
        <f>""</f>
        <v/>
      </c>
      <c r="Q574" s="5" t="str">
        <f>""</f>
        <v/>
      </c>
      <c r="R574" s="5" t="str">
        <f>""</f>
        <v/>
      </c>
      <c r="S574" s="5" t="str">
        <f>""</f>
        <v/>
      </c>
      <c r="T574" s="5" t="str">
        <f>""</f>
        <v/>
      </c>
      <c r="U574" s="5" t="str">
        <f>""</f>
        <v/>
      </c>
      <c r="V574" s="5" t="str">
        <f>""</f>
        <v/>
      </c>
      <c r="W574" s="5" t="str">
        <f>""</f>
        <v/>
      </c>
      <c r="X574" s="5" t="str">
        <f>""</f>
        <v/>
      </c>
      <c r="Y574" s="9" t="str">
        <f>""</f>
        <v/>
      </c>
      <c r="Z574" s="5" t="str">
        <f>""</f>
        <v/>
      </c>
      <c r="AA574" s="5" t="str">
        <f>""</f>
        <v/>
      </c>
      <c r="AB574" s="5" t="str">
        <f>""</f>
        <v/>
      </c>
      <c r="AC574" s="5" t="str">
        <f>""</f>
        <v/>
      </c>
      <c r="AD574" s="5" t="str">
        <f>""</f>
        <v/>
      </c>
      <c r="AE574" s="5" t="str">
        <f>""</f>
        <v/>
      </c>
      <c r="AF574" s="5" t="str">
        <f>""</f>
        <v/>
      </c>
      <c r="AG574" s="5" t="str">
        <f>""</f>
        <v/>
      </c>
      <c r="AH574" s="5" t="str">
        <f>""</f>
        <v/>
      </c>
      <c r="AI574" s="5" t="str">
        <f>""</f>
        <v/>
      </c>
      <c r="AJ574" s="5" t="str">
        <f>""</f>
        <v/>
      </c>
      <c r="AK574" s="8" t="str">
        <f>""</f>
        <v/>
      </c>
      <c r="AL574" s="5" t="str">
        <f>"35,00"</f>
        <v>35,00</v>
      </c>
      <c r="AM574" s="5" t="str">
        <f>"2024"</f>
        <v>2024</v>
      </c>
      <c r="AN574" s="5" t="str">
        <f t="shared" si="802"/>
        <v>нет</v>
      </c>
      <c r="AO574" s="5" t="str">
        <f>""</f>
        <v/>
      </c>
      <c r="AP574" s="5" t="str">
        <f>""</f>
        <v/>
      </c>
      <c r="AQ574" s="5" t="str">
        <f>""</f>
        <v/>
      </c>
      <c r="AR574" s="5" t="str">
        <f t="shared" si="801"/>
        <v>нет</v>
      </c>
      <c r="AS574" s="5" t="str">
        <f>""</f>
        <v/>
      </c>
      <c r="AT574" s="5" t="str">
        <f>""</f>
        <v/>
      </c>
      <c r="AU574" s="5" t="str">
        <f>""</f>
        <v/>
      </c>
      <c r="AV574" s="5" t="str">
        <f t="shared" si="803"/>
        <v>х</v>
      </c>
      <c r="AW574" s="5" t="str">
        <f t="shared" si="803"/>
        <v>х</v>
      </c>
      <c r="AX574" s="5" t="str">
        <f t="shared" si="803"/>
        <v>х</v>
      </c>
      <c r="AY574" s="5" t="str">
        <f t="shared" si="803"/>
        <v>х</v>
      </c>
      <c r="AZ574" s="5" t="str">
        <f t="shared" si="803"/>
        <v>х</v>
      </c>
      <c r="BA574" s="5" t="str">
        <f t="shared" si="803"/>
        <v>х</v>
      </c>
      <c r="BB574" s="5" t="str">
        <f t="shared" si="803"/>
        <v>х</v>
      </c>
      <c r="BC574" s="5" t="str">
        <f t="shared" si="803"/>
        <v>х</v>
      </c>
      <c r="BD574" s="5" t="str">
        <f t="shared" si="803"/>
        <v>х</v>
      </c>
      <c r="BE574" s="5" t="str">
        <f t="shared" si="803"/>
        <v>х</v>
      </c>
      <c r="BF574" s="5" t="str">
        <f t="shared" si="803"/>
        <v>х</v>
      </c>
      <c r="BG574" s="5" t="str">
        <f>""</f>
        <v/>
      </c>
      <c r="BH574" s="5" t="str">
        <f>""</f>
        <v/>
      </c>
      <c r="BI574" s="5" t="str">
        <f>""</f>
        <v/>
      </c>
      <c r="BJ574" s="5" t="str">
        <f>""</f>
        <v/>
      </c>
      <c r="BK574" s="5" t="str">
        <f>""</f>
        <v/>
      </c>
      <c r="BL574" s="5" t="str">
        <f>""</f>
        <v/>
      </c>
      <c r="BM574" s="5" t="str">
        <f>""</f>
        <v/>
      </c>
      <c r="BN574" s="5" t="str">
        <f>""</f>
        <v/>
      </c>
      <c r="BO574" s="5" t="str">
        <f>""</f>
        <v/>
      </c>
      <c r="BP574" s="5" t="str">
        <f>""</f>
        <v/>
      </c>
      <c r="BQ574" s="5" t="str">
        <f>""</f>
        <v/>
      </c>
      <c r="BR574" s="5" t="str">
        <f>""</f>
        <v/>
      </c>
      <c r="BS574" s="5" t="str">
        <f>"67,00"</f>
        <v>67,00</v>
      </c>
      <c r="BT574" s="5" t="str">
        <f>"2020"</f>
        <v>2020</v>
      </c>
      <c r="BU574" s="5" t="str">
        <f t="shared" si="796"/>
        <v>нет</v>
      </c>
      <c r="BV574" s="5" t="str">
        <f t="shared" si="799"/>
        <v>x</v>
      </c>
      <c r="BW574" s="5" t="str">
        <f t="shared" si="799"/>
        <v>x</v>
      </c>
      <c r="BX574" s="5" t="str">
        <f t="shared" si="799"/>
        <v>x</v>
      </c>
      <c r="BY574" s="5" t="str">
        <f t="shared" si="805"/>
        <v>нет</v>
      </c>
      <c r="BZ574" s="5" t="str">
        <f t="shared" si="798"/>
        <v>x</v>
      </c>
      <c r="CA574" s="5" t="str">
        <f t="shared" si="798"/>
        <v>x</v>
      </c>
      <c r="CB574" s="5" t="str">
        <f t="shared" si="798"/>
        <v>x</v>
      </c>
      <c r="CC574" s="5" t="str">
        <f>""</f>
        <v/>
      </c>
      <c r="CD574" s="5" t="str">
        <f>"35,00"</f>
        <v>35,00</v>
      </c>
      <c r="CE574" s="5" t="str">
        <f>"2024"</f>
        <v>2024</v>
      </c>
      <c r="CF574" s="5" t="str">
        <f>""</f>
        <v/>
      </c>
      <c r="CG574" s="5" t="str">
        <f>"35,00"</f>
        <v>35,00</v>
      </c>
      <c r="CH574" s="5" t="str">
        <f>"2024"</f>
        <v>2024</v>
      </c>
      <c r="CI574" s="5" t="str">
        <f>"41,00"</f>
        <v>41,00</v>
      </c>
      <c r="CJ574" s="5" t="str">
        <f>"2024"</f>
        <v>2024</v>
      </c>
    </row>
    <row r="575" spans="1:88" ht="11.25" customHeight="1">
      <c r="A575" s="3" t="str">
        <f>"1.562"</f>
        <v>1.562</v>
      </c>
      <c r="B575" s="4" t="str">
        <f>"пгт. Вохтога, ул. Пионерская, д.6"</f>
        <v>пгт. Вохтога, ул. Пионерская, д.6</v>
      </c>
      <c r="C575" s="7" t="str">
        <f>"1959"</f>
        <v>1959</v>
      </c>
      <c r="D575" s="5" t="str">
        <f>""</f>
        <v/>
      </c>
      <c r="E575" s="5" t="str">
        <f>"35,00"</f>
        <v>35,00</v>
      </c>
      <c r="F575" s="5" t="str">
        <f>"2019"</f>
        <v>2019</v>
      </c>
      <c r="G575" s="5" t="str">
        <f t="shared" si="800"/>
        <v>нет</v>
      </c>
      <c r="H575" s="5" t="str">
        <f>""</f>
        <v/>
      </c>
      <c r="I575" s="5" t="str">
        <f>""</f>
        <v/>
      </c>
      <c r="J575" s="5" t="str">
        <f>""</f>
        <v/>
      </c>
      <c r="K575" s="5" t="str">
        <f t="shared" si="790"/>
        <v>нет</v>
      </c>
      <c r="L575" s="5" t="str">
        <f>""</f>
        <v/>
      </c>
      <c r="M575" s="5" t="str">
        <f>""</f>
        <v/>
      </c>
      <c r="N575" s="5" t="str">
        <f>""</f>
        <v/>
      </c>
      <c r="O575" s="8" t="str">
        <f>""</f>
        <v/>
      </c>
      <c r="P575" s="5" t="str">
        <f>""</f>
        <v/>
      </c>
      <c r="Q575" s="5" t="str">
        <f>""</f>
        <v/>
      </c>
      <c r="R575" s="5" t="str">
        <f>""</f>
        <v/>
      </c>
      <c r="S575" s="5" t="str">
        <f>""</f>
        <v/>
      </c>
      <c r="T575" s="5" t="str">
        <f>""</f>
        <v/>
      </c>
      <c r="U575" s="5" t="str">
        <f>""</f>
        <v/>
      </c>
      <c r="V575" s="5" t="str">
        <f>""</f>
        <v/>
      </c>
      <c r="W575" s="5" t="str">
        <f>""</f>
        <v/>
      </c>
      <c r="X575" s="5" t="str">
        <f>""</f>
        <v/>
      </c>
      <c r="Y575" s="9" t="str">
        <f>""</f>
        <v/>
      </c>
      <c r="Z575" s="5" t="str">
        <f>""</f>
        <v/>
      </c>
      <c r="AA575" s="5" t="str">
        <f>""</f>
        <v/>
      </c>
      <c r="AB575" s="5" t="str">
        <f>""</f>
        <v/>
      </c>
      <c r="AC575" s="5" t="str">
        <f>""</f>
        <v/>
      </c>
      <c r="AD575" s="5" t="str">
        <f>""</f>
        <v/>
      </c>
      <c r="AE575" s="5" t="str">
        <f>""</f>
        <v/>
      </c>
      <c r="AF575" s="5" t="str">
        <f>""</f>
        <v/>
      </c>
      <c r="AG575" s="5" t="str">
        <f>""</f>
        <v/>
      </c>
      <c r="AH575" s="5" t="str">
        <f>""</f>
        <v/>
      </c>
      <c r="AI575" s="5" t="str">
        <f>""</f>
        <v/>
      </c>
      <c r="AJ575" s="5" t="str">
        <f>""</f>
        <v/>
      </c>
      <c r="AK575" s="8" t="str">
        <f>""</f>
        <v/>
      </c>
      <c r="AL575" s="5" t="str">
        <f>"45,00"</f>
        <v>45,00</v>
      </c>
      <c r="AM575" s="5" t="str">
        <f>"2019"</f>
        <v>2019</v>
      </c>
      <c r="AN575" s="5" t="str">
        <f t="shared" si="802"/>
        <v>нет</v>
      </c>
      <c r="AO575" s="5" t="str">
        <f>""</f>
        <v/>
      </c>
      <c r="AP575" s="5" t="str">
        <f>""</f>
        <v/>
      </c>
      <c r="AQ575" s="5" t="str">
        <f>""</f>
        <v/>
      </c>
      <c r="AR575" s="5" t="str">
        <f t="shared" si="801"/>
        <v>нет</v>
      </c>
      <c r="AS575" s="5" t="str">
        <f>""</f>
        <v/>
      </c>
      <c r="AT575" s="5" t="str">
        <f>""</f>
        <v/>
      </c>
      <c r="AU575" s="5" t="str">
        <f>""</f>
        <v/>
      </c>
      <c r="AV575" s="5" t="str">
        <f t="shared" si="803"/>
        <v>х</v>
      </c>
      <c r="AW575" s="5" t="str">
        <f t="shared" si="803"/>
        <v>х</v>
      </c>
      <c r="AX575" s="5" t="str">
        <f t="shared" si="803"/>
        <v>х</v>
      </c>
      <c r="AY575" s="5" t="str">
        <f t="shared" si="803"/>
        <v>х</v>
      </c>
      <c r="AZ575" s="5" t="str">
        <f t="shared" si="803"/>
        <v>х</v>
      </c>
      <c r="BA575" s="5" t="str">
        <f t="shared" si="803"/>
        <v>х</v>
      </c>
      <c r="BB575" s="5" t="str">
        <f t="shared" si="803"/>
        <v>х</v>
      </c>
      <c r="BC575" s="5" t="str">
        <f t="shared" si="803"/>
        <v>х</v>
      </c>
      <c r="BD575" s="5" t="str">
        <f t="shared" si="803"/>
        <v>х</v>
      </c>
      <c r="BE575" s="5" t="str">
        <f t="shared" si="803"/>
        <v>х</v>
      </c>
      <c r="BF575" s="5" t="str">
        <f t="shared" si="803"/>
        <v>х</v>
      </c>
      <c r="BG575" s="5" t="str">
        <f>""</f>
        <v/>
      </c>
      <c r="BH575" s="5" t="str">
        <f>""</f>
        <v/>
      </c>
      <c r="BI575" s="5" t="str">
        <f>""</f>
        <v/>
      </c>
      <c r="BJ575" s="5" t="str">
        <f>""</f>
        <v/>
      </c>
      <c r="BK575" s="5" t="str">
        <f>""</f>
        <v/>
      </c>
      <c r="BL575" s="5" t="str">
        <f>""</f>
        <v/>
      </c>
      <c r="BM575" s="5" t="str">
        <f>""</f>
        <v/>
      </c>
      <c r="BN575" s="5" t="str">
        <f>""</f>
        <v/>
      </c>
      <c r="BO575" s="5" t="str">
        <f>""</f>
        <v/>
      </c>
      <c r="BP575" s="5" t="str">
        <f>""</f>
        <v/>
      </c>
      <c r="BQ575" s="5" t="str">
        <f>""</f>
        <v/>
      </c>
      <c r="BR575" s="5" t="str">
        <f>""</f>
        <v/>
      </c>
      <c r="BS575" s="5" t="str">
        <f>"54,00"</f>
        <v>54,00</v>
      </c>
      <c r="BT575" s="5" t="str">
        <f>"2019"</f>
        <v>2019</v>
      </c>
      <c r="BU575" s="5" t="str">
        <f t="shared" si="796"/>
        <v>нет</v>
      </c>
      <c r="BV575" s="5" t="str">
        <f t="shared" si="799"/>
        <v>x</v>
      </c>
      <c r="BW575" s="5" t="str">
        <f t="shared" si="799"/>
        <v>x</v>
      </c>
      <c r="BX575" s="5" t="str">
        <f t="shared" si="799"/>
        <v>x</v>
      </c>
      <c r="BY575" s="5" t="str">
        <f t="shared" si="805"/>
        <v>нет</v>
      </c>
      <c r="BZ575" s="5" t="str">
        <f t="shared" si="798"/>
        <v>x</v>
      </c>
      <c r="CA575" s="5" t="str">
        <f t="shared" si="798"/>
        <v>x</v>
      </c>
      <c r="CB575" s="5" t="str">
        <f t="shared" si="798"/>
        <v>x</v>
      </c>
      <c r="CC575" s="5" t="str">
        <f>""</f>
        <v/>
      </c>
      <c r="CD575" s="5" t="str">
        <f>"66,00"</f>
        <v>66,00</v>
      </c>
      <c r="CE575" s="5" t="str">
        <f>"2020"</f>
        <v>2020</v>
      </c>
      <c r="CF575" s="5" t="str">
        <f>""</f>
        <v/>
      </c>
      <c r="CG575" s="5" t="str">
        <f>"70,00"</f>
        <v>70,00</v>
      </c>
      <c r="CH575" s="5" t="str">
        <f>"2020"</f>
        <v>2020</v>
      </c>
      <c r="CI575" s="5" t="str">
        <f>"55,00"</f>
        <v>55,00</v>
      </c>
      <c r="CJ575" s="5" t="str">
        <f>"2020"</f>
        <v>2020</v>
      </c>
    </row>
    <row r="576" spans="1:88" ht="11.25" customHeight="1">
      <c r="A576" s="3" t="str">
        <f>"1.563"</f>
        <v>1.563</v>
      </c>
      <c r="B576" s="4" t="str">
        <f>"пгт. Вохтога, ул. Пионерская, д.8"</f>
        <v>пгт. Вохтога, ул. Пионерская, д.8</v>
      </c>
      <c r="C576" s="7" t="str">
        <f>"1958"</f>
        <v>1958</v>
      </c>
      <c r="D576" s="5" t="str">
        <f>""</f>
        <v/>
      </c>
      <c r="E576" s="5" t="str">
        <f>"25,00"</f>
        <v>25,00</v>
      </c>
      <c r="F576" s="5" t="str">
        <f>"2035"</f>
        <v>2035</v>
      </c>
      <c r="G576" s="5" t="str">
        <f t="shared" si="800"/>
        <v>нет</v>
      </c>
      <c r="H576" s="5" t="str">
        <f>""</f>
        <v/>
      </c>
      <c r="I576" s="5" t="str">
        <f>""</f>
        <v/>
      </c>
      <c r="J576" s="5" t="str">
        <f>""</f>
        <v/>
      </c>
      <c r="K576" s="5" t="str">
        <f t="shared" si="790"/>
        <v>нет</v>
      </c>
      <c r="L576" s="5" t="str">
        <f>""</f>
        <v/>
      </c>
      <c r="M576" s="5" t="str">
        <f>""</f>
        <v/>
      </c>
      <c r="N576" s="5" t="str">
        <f>""</f>
        <v/>
      </c>
      <c r="O576" s="8" t="str">
        <f>""</f>
        <v/>
      </c>
      <c r="P576" s="5" t="str">
        <f>"2,00"</f>
        <v>2,00</v>
      </c>
      <c r="Q576" s="5" t="str">
        <f>"2041"</f>
        <v>2041</v>
      </c>
      <c r="R576" s="5" t="str">
        <f>"нет"</f>
        <v>нет</v>
      </c>
      <c r="S576" s="5" t="str">
        <f>""</f>
        <v/>
      </c>
      <c r="T576" s="5" t="str">
        <f>""</f>
        <v/>
      </c>
      <c r="U576" s="5" t="str">
        <f>""</f>
        <v/>
      </c>
      <c r="V576" s="5" t="str">
        <f>"нет"</f>
        <v>нет</v>
      </c>
      <c r="W576" s="5" t="str">
        <f>""</f>
        <v/>
      </c>
      <c r="X576" s="5" t="str">
        <f>""</f>
        <v/>
      </c>
      <c r="Y576" s="9" t="str">
        <f>""</f>
        <v/>
      </c>
      <c r="Z576" s="5" t="str">
        <f>""</f>
        <v/>
      </c>
      <c r="AA576" s="5" t="str">
        <f>""</f>
        <v/>
      </c>
      <c r="AB576" s="5" t="str">
        <f>""</f>
        <v/>
      </c>
      <c r="AC576" s="5" t="str">
        <f>""</f>
        <v/>
      </c>
      <c r="AD576" s="5" t="str">
        <f>""</f>
        <v/>
      </c>
      <c r="AE576" s="5" t="str">
        <f>""</f>
        <v/>
      </c>
      <c r="AF576" s="5" t="str">
        <f>""</f>
        <v/>
      </c>
      <c r="AG576" s="5" t="str">
        <f>""</f>
        <v/>
      </c>
      <c r="AH576" s="5" t="str">
        <f>""</f>
        <v/>
      </c>
      <c r="AI576" s="5" t="str">
        <f>""</f>
        <v/>
      </c>
      <c r="AJ576" s="5" t="str">
        <f>""</f>
        <v/>
      </c>
      <c r="AK576" s="8" t="str">
        <f>""</f>
        <v/>
      </c>
      <c r="AL576" s="5" t="str">
        <f>"27,00"</f>
        <v>27,00</v>
      </c>
      <c r="AM576" s="5" t="str">
        <f>"2020"</f>
        <v>2020</v>
      </c>
      <c r="AN576" s="5" t="str">
        <f t="shared" si="802"/>
        <v>нет</v>
      </c>
      <c r="AO576" s="5" t="str">
        <f>""</f>
        <v/>
      </c>
      <c r="AP576" s="5" t="str">
        <f>""</f>
        <v/>
      </c>
      <c r="AQ576" s="5" t="str">
        <f>""</f>
        <v/>
      </c>
      <c r="AR576" s="5" t="str">
        <f t="shared" si="801"/>
        <v>нет</v>
      </c>
      <c r="AS576" s="5" t="str">
        <f>""</f>
        <v/>
      </c>
      <c r="AT576" s="5" t="str">
        <f>""</f>
        <v/>
      </c>
      <c r="AU576" s="5" t="str">
        <f>""</f>
        <v/>
      </c>
      <c r="AV576" s="5" t="str">
        <f t="shared" si="803"/>
        <v>х</v>
      </c>
      <c r="AW576" s="5" t="str">
        <f t="shared" si="803"/>
        <v>х</v>
      </c>
      <c r="AX576" s="5" t="str">
        <f t="shared" si="803"/>
        <v>х</v>
      </c>
      <c r="AY576" s="5" t="str">
        <f t="shared" si="803"/>
        <v>х</v>
      </c>
      <c r="AZ576" s="5" t="str">
        <f t="shared" si="803"/>
        <v>х</v>
      </c>
      <c r="BA576" s="5" t="str">
        <f t="shared" si="803"/>
        <v>х</v>
      </c>
      <c r="BB576" s="5" t="str">
        <f t="shared" si="803"/>
        <v>х</v>
      </c>
      <c r="BC576" s="5" t="str">
        <f t="shared" si="803"/>
        <v>х</v>
      </c>
      <c r="BD576" s="5" t="str">
        <f t="shared" si="803"/>
        <v>х</v>
      </c>
      <c r="BE576" s="5" t="str">
        <f t="shared" si="803"/>
        <v>х</v>
      </c>
      <c r="BF576" s="5" t="str">
        <f t="shared" si="803"/>
        <v>х</v>
      </c>
      <c r="BG576" s="5" t="str">
        <f>""</f>
        <v/>
      </c>
      <c r="BH576" s="5" t="str">
        <f>""</f>
        <v/>
      </c>
      <c r="BI576" s="5" t="str">
        <f>""</f>
        <v/>
      </c>
      <c r="BJ576" s="5" t="str">
        <f>""</f>
        <v/>
      </c>
      <c r="BK576" s="5" t="str">
        <f>""</f>
        <v/>
      </c>
      <c r="BL576" s="5" t="str">
        <f>""</f>
        <v/>
      </c>
      <c r="BM576" s="5" t="str">
        <f>""</f>
        <v/>
      </c>
      <c r="BN576" s="5" t="str">
        <f>""</f>
        <v/>
      </c>
      <c r="BO576" s="5" t="str">
        <f>""</f>
        <v/>
      </c>
      <c r="BP576" s="5" t="str">
        <f>""</f>
        <v/>
      </c>
      <c r="BQ576" s="5" t="str">
        <f>""</f>
        <v/>
      </c>
      <c r="BR576" s="5" t="str">
        <f>"2007"</f>
        <v>2007</v>
      </c>
      <c r="BS576" s="5" t="str">
        <f>"12,00"</f>
        <v>12,00</v>
      </c>
      <c r="BT576" s="5" t="str">
        <f>"2018"</f>
        <v>2018</v>
      </c>
      <c r="BU576" s="5" t="str">
        <f t="shared" si="796"/>
        <v>нет</v>
      </c>
      <c r="BV576" s="5" t="str">
        <f t="shared" si="799"/>
        <v>x</v>
      </c>
      <c r="BW576" s="5" t="str">
        <f t="shared" si="799"/>
        <v>x</v>
      </c>
      <c r="BX576" s="5" t="str">
        <f t="shared" si="799"/>
        <v>x</v>
      </c>
      <c r="BY576" s="5" t="str">
        <f t="shared" si="805"/>
        <v>нет</v>
      </c>
      <c r="BZ576" s="5" t="str">
        <f t="shared" si="798"/>
        <v>x</v>
      </c>
      <c r="CA576" s="5" t="str">
        <f t="shared" si="798"/>
        <v>x</v>
      </c>
      <c r="CB576" s="5" t="str">
        <f t="shared" si="798"/>
        <v>x</v>
      </c>
      <c r="CC576" s="5" t="str">
        <f>""</f>
        <v/>
      </c>
      <c r="CD576" s="5" t="str">
        <f>"45,00"</f>
        <v>45,00</v>
      </c>
      <c r="CE576" s="5" t="str">
        <f>"2020"</f>
        <v>2020</v>
      </c>
      <c r="CF576" s="5" t="str">
        <f>""</f>
        <v/>
      </c>
      <c r="CG576" s="5" t="str">
        <f>"45,00"</f>
        <v>45,00</v>
      </c>
      <c r="CH576" s="5" t="str">
        <f>"2020"</f>
        <v>2020</v>
      </c>
      <c r="CI576" s="5" t="str">
        <f>"41,00"</f>
        <v>41,00</v>
      </c>
      <c r="CJ576" s="5" t="str">
        <f>"2020"</f>
        <v>2020</v>
      </c>
    </row>
    <row r="577" spans="1:88" ht="11.25" customHeight="1">
      <c r="A577" s="3" t="str">
        <f>"1.564"</f>
        <v>1.564</v>
      </c>
      <c r="B577" s="4" t="str">
        <f>"пгт. Вохтога, ул. Пролетарская, д.1"</f>
        <v>пгт. Вохтога, ул. Пролетарская, д.1</v>
      </c>
      <c r="C577" s="7" t="str">
        <f>"1967"</f>
        <v>1967</v>
      </c>
      <c r="D577" s="5" t="str">
        <f>""</f>
        <v/>
      </c>
      <c r="E577" s="5" t="str">
        <f>"49,00"</f>
        <v>49,00</v>
      </c>
      <c r="F577" s="5" t="str">
        <f>"2022"</f>
        <v>2022</v>
      </c>
      <c r="G577" s="5" t="str">
        <f>"да"</f>
        <v>да</v>
      </c>
      <c r="H577" s="5" t="str">
        <f>"2012"</f>
        <v>2012</v>
      </c>
      <c r="I577" s="5" t="str">
        <f>"10,00"</f>
        <v>10,00</v>
      </c>
      <c r="J577" s="5" t="str">
        <f>"2022"</f>
        <v>2022</v>
      </c>
      <c r="K577" s="5" t="str">
        <f>"да"</f>
        <v>да</v>
      </c>
      <c r="L577" s="5" t="str">
        <f>""</f>
        <v/>
      </c>
      <c r="M577" s="5" t="str">
        <f>"49,00"</f>
        <v>49,00</v>
      </c>
      <c r="N577" s="5" t="str">
        <f>"2022"</f>
        <v>2022</v>
      </c>
      <c r="O577" s="8" t="str">
        <f>""</f>
        <v/>
      </c>
      <c r="P577" s="5" t="str">
        <f>"52,00"</f>
        <v>52,00</v>
      </c>
      <c r="Q577" s="5" t="str">
        <f>"2019"</f>
        <v>2019</v>
      </c>
      <c r="R577" s="5" t="str">
        <f>"нет"</f>
        <v>нет</v>
      </c>
      <c r="S577" s="5" t="str">
        <f>""</f>
        <v/>
      </c>
      <c r="T577" s="5" t="str">
        <f>""</f>
        <v/>
      </c>
      <c r="U577" s="5" t="str">
        <f>""</f>
        <v/>
      </c>
      <c r="V577" s="5" t="str">
        <f>"нет"</f>
        <v>нет</v>
      </c>
      <c r="W577" s="5" t="str">
        <f>""</f>
        <v/>
      </c>
      <c r="X577" s="5" t="str">
        <f>""</f>
        <v/>
      </c>
      <c r="Y577" s="9" t="str">
        <f>""</f>
        <v/>
      </c>
      <c r="Z577" s="5" t="str">
        <f>""</f>
        <v/>
      </c>
      <c r="AA577" s="5" t="str">
        <f>"5,00"</f>
        <v>5,00</v>
      </c>
      <c r="AB577" s="5" t="str">
        <f>"2042"</f>
        <v>2042</v>
      </c>
      <c r="AC577" s="5" t="str">
        <f>"нет"</f>
        <v>нет</v>
      </c>
      <c r="AD577" s="5" t="str">
        <f>""</f>
        <v/>
      </c>
      <c r="AE577" s="5" t="str">
        <f>""</f>
        <v/>
      </c>
      <c r="AF577" s="5" t="str">
        <f>""</f>
        <v/>
      </c>
      <c r="AG577" s="5" t="str">
        <f>"нет"</f>
        <v>нет</v>
      </c>
      <c r="AH577" s="5" t="str">
        <f>""</f>
        <v/>
      </c>
      <c r="AI577" s="5" t="str">
        <f>""</f>
        <v/>
      </c>
      <c r="AJ577" s="5" t="str">
        <f>""</f>
        <v/>
      </c>
      <c r="AK577" s="8" t="str">
        <f>""</f>
        <v/>
      </c>
      <c r="AL577" s="5" t="str">
        <f>"54,00"</f>
        <v>54,00</v>
      </c>
      <c r="AM577" s="5" t="str">
        <f>"2023"</f>
        <v>2023</v>
      </c>
      <c r="AN577" s="5" t="str">
        <f t="shared" si="802"/>
        <v>нет</v>
      </c>
      <c r="AO577" s="5" t="str">
        <f>""</f>
        <v/>
      </c>
      <c r="AP577" s="5" t="str">
        <f>""</f>
        <v/>
      </c>
      <c r="AQ577" s="5" t="str">
        <f>""</f>
        <v/>
      </c>
      <c r="AR577" s="5" t="str">
        <f t="shared" si="801"/>
        <v>нет</v>
      </c>
      <c r="AS577" s="5" t="str">
        <f>""</f>
        <v/>
      </c>
      <c r="AT577" s="5" t="str">
        <f>""</f>
        <v/>
      </c>
      <c r="AU577" s="5" t="str">
        <f>""</f>
        <v/>
      </c>
      <c r="AV577" s="5" t="str">
        <f t="shared" si="803"/>
        <v>х</v>
      </c>
      <c r="AW577" s="5" t="str">
        <f t="shared" si="803"/>
        <v>х</v>
      </c>
      <c r="AX577" s="5" t="str">
        <f t="shared" si="803"/>
        <v>х</v>
      </c>
      <c r="AY577" s="5" t="str">
        <f t="shared" si="803"/>
        <v>х</v>
      </c>
      <c r="AZ577" s="5" t="str">
        <f t="shared" si="803"/>
        <v>х</v>
      </c>
      <c r="BA577" s="5" t="str">
        <f t="shared" si="803"/>
        <v>х</v>
      </c>
      <c r="BB577" s="5" t="str">
        <f t="shared" si="803"/>
        <v>х</v>
      </c>
      <c r="BC577" s="5" t="str">
        <f t="shared" si="803"/>
        <v>х</v>
      </c>
      <c r="BD577" s="5" t="str">
        <f t="shared" si="803"/>
        <v>х</v>
      </c>
      <c r="BE577" s="5" t="str">
        <f t="shared" si="803"/>
        <v>х</v>
      </c>
      <c r="BF577" s="5" t="str">
        <f t="shared" si="803"/>
        <v>х</v>
      </c>
      <c r="BG577" s="5" t="str">
        <f>""</f>
        <v/>
      </c>
      <c r="BH577" s="5" t="str">
        <f>""</f>
        <v/>
      </c>
      <c r="BI577" s="5" t="str">
        <f>""</f>
        <v/>
      </c>
      <c r="BJ577" s="5" t="str">
        <f>""</f>
        <v/>
      </c>
      <c r="BK577" s="5" t="str">
        <f>""</f>
        <v/>
      </c>
      <c r="BL577" s="5" t="str">
        <f>""</f>
        <v/>
      </c>
      <c r="BM577" s="5" t="str">
        <f>""</f>
        <v/>
      </c>
      <c r="BN577" s="5" t="str">
        <f>""</f>
        <v/>
      </c>
      <c r="BO577" s="5" t="str">
        <f>""</f>
        <v/>
      </c>
      <c r="BP577" s="5" t="str">
        <f>""</f>
        <v/>
      </c>
      <c r="BQ577" s="5" t="str">
        <f>""</f>
        <v/>
      </c>
      <c r="BR577" s="5" t="str">
        <f>""</f>
        <v/>
      </c>
      <c r="BS577" s="5" t="str">
        <f>"61,00"</f>
        <v>61,00</v>
      </c>
      <c r="BT577" s="5" t="str">
        <f>"2018"</f>
        <v>2018</v>
      </c>
      <c r="BU577" s="5" t="str">
        <f t="shared" si="796"/>
        <v>нет</v>
      </c>
      <c r="BV577" s="5" t="str">
        <f t="shared" si="799"/>
        <v>x</v>
      </c>
      <c r="BW577" s="5" t="str">
        <f t="shared" si="799"/>
        <v>x</v>
      </c>
      <c r="BX577" s="5" t="str">
        <f t="shared" si="799"/>
        <v>x</v>
      </c>
      <c r="BY577" s="5" t="str">
        <f t="shared" si="805"/>
        <v>нет</v>
      </c>
      <c r="BZ577" s="5" t="str">
        <f t="shared" si="798"/>
        <v>x</v>
      </c>
      <c r="CA577" s="5" t="str">
        <f t="shared" si="798"/>
        <v>x</v>
      </c>
      <c r="CB577" s="5" t="str">
        <f t="shared" si="798"/>
        <v>x</v>
      </c>
      <c r="CC577" s="5" t="str">
        <f>""</f>
        <v/>
      </c>
      <c r="CD577" s="5" t="str">
        <f>"64,00"</f>
        <v>64,00</v>
      </c>
      <c r="CE577" s="5" t="str">
        <f>"2021"</f>
        <v>2021</v>
      </c>
      <c r="CF577" s="5" t="str">
        <f>""</f>
        <v/>
      </c>
      <c r="CG577" s="5" t="str">
        <f>"64,00"</f>
        <v>64,00</v>
      </c>
      <c r="CH577" s="5" t="str">
        <f>"2021"</f>
        <v>2021</v>
      </c>
      <c r="CI577" s="5" t="str">
        <f>"55,00"</f>
        <v>55,00</v>
      </c>
      <c r="CJ577" s="5" t="str">
        <f>"2021"</f>
        <v>2021</v>
      </c>
    </row>
    <row r="578" spans="1:88" ht="11.25" customHeight="1">
      <c r="A578" s="3" t="str">
        <f>"1.565"</f>
        <v>1.565</v>
      </c>
      <c r="B578" s="4" t="str">
        <f>"пгт. Вохтога, ул. Пролетарская, д.3"</f>
        <v>пгт. Вохтога, ул. Пролетарская, д.3</v>
      </c>
      <c r="C578" s="7" t="str">
        <f>"1966"</f>
        <v>1966</v>
      </c>
      <c r="D578" s="5" t="str">
        <f>""</f>
        <v/>
      </c>
      <c r="E578" s="5" t="str">
        <f>"50,00"</f>
        <v>50,00</v>
      </c>
      <c r="F578" s="5" t="str">
        <f>"2022"</f>
        <v>2022</v>
      </c>
      <c r="G578" s="5" t="str">
        <f>"да"</f>
        <v>да</v>
      </c>
      <c r="H578" s="5" t="str">
        <f>"2012"</f>
        <v>2012</v>
      </c>
      <c r="I578" s="5" t="str">
        <f>"10,00"</f>
        <v>10,00</v>
      </c>
      <c r="J578" s="5" t="str">
        <f>"2022"</f>
        <v>2022</v>
      </c>
      <c r="K578" s="5" t="str">
        <f>"да"</f>
        <v>да</v>
      </c>
      <c r="L578" s="5" t="str">
        <f>""</f>
        <v/>
      </c>
      <c r="M578" s="5" t="str">
        <f>"52,00"</f>
        <v>52,00</v>
      </c>
      <c r="N578" s="5" t="str">
        <f>"2018"</f>
        <v>2018</v>
      </c>
      <c r="O578" s="8" t="str">
        <f>""</f>
        <v/>
      </c>
      <c r="P578" s="5" t="str">
        <f>"52,00"</f>
        <v>52,00</v>
      </c>
      <c r="Q578" s="5" t="str">
        <f>"2019"</f>
        <v>2019</v>
      </c>
      <c r="R578" s="5" t="str">
        <f>"нет"</f>
        <v>нет</v>
      </c>
      <c r="S578" s="5" t="str">
        <f>""</f>
        <v/>
      </c>
      <c r="T578" s="5" t="str">
        <f>""</f>
        <v/>
      </c>
      <c r="U578" s="5" t="str">
        <f>""</f>
        <v/>
      </c>
      <c r="V578" s="5" t="str">
        <f>"нет"</f>
        <v>нет</v>
      </c>
      <c r="W578" s="5" t="str">
        <f>""</f>
        <v/>
      </c>
      <c r="X578" s="5" t="str">
        <f>""</f>
        <v/>
      </c>
      <c r="Y578" s="9" t="str">
        <f>""</f>
        <v/>
      </c>
      <c r="Z578" s="5" t="str">
        <f>""</f>
        <v/>
      </c>
      <c r="AA578" s="5" t="str">
        <f>"5,00"</f>
        <v>5,00</v>
      </c>
      <c r="AB578" s="5" t="str">
        <f>"2042"</f>
        <v>2042</v>
      </c>
      <c r="AC578" s="5" t="str">
        <f>"нет"</f>
        <v>нет</v>
      </c>
      <c r="AD578" s="5" t="str">
        <f>""</f>
        <v/>
      </c>
      <c r="AE578" s="5" t="str">
        <f>""</f>
        <v/>
      </c>
      <c r="AF578" s="5" t="str">
        <f>""</f>
        <v/>
      </c>
      <c r="AG578" s="5" t="str">
        <f>"нет"</f>
        <v>нет</v>
      </c>
      <c r="AH578" s="5" t="str">
        <f>""</f>
        <v/>
      </c>
      <c r="AI578" s="5" t="str">
        <f>""</f>
        <v/>
      </c>
      <c r="AJ578" s="5" t="str">
        <f>""</f>
        <v/>
      </c>
      <c r="AK578" s="8" t="str">
        <f>""</f>
        <v/>
      </c>
      <c r="AL578" s="5" t="str">
        <f>"59,00"</f>
        <v>59,00</v>
      </c>
      <c r="AM578" s="5" t="str">
        <f>"2019"</f>
        <v>2019</v>
      </c>
      <c r="AN578" s="5" t="str">
        <f t="shared" si="802"/>
        <v>нет</v>
      </c>
      <c r="AO578" s="5" t="str">
        <f>""</f>
        <v/>
      </c>
      <c r="AP578" s="5" t="str">
        <f>""</f>
        <v/>
      </c>
      <c r="AQ578" s="5" t="str">
        <f>""</f>
        <v/>
      </c>
      <c r="AR578" s="5" t="str">
        <f t="shared" si="801"/>
        <v>нет</v>
      </c>
      <c r="AS578" s="5" t="str">
        <f>""</f>
        <v/>
      </c>
      <c r="AT578" s="5" t="str">
        <f>""</f>
        <v/>
      </c>
      <c r="AU578" s="5" t="str">
        <f>""</f>
        <v/>
      </c>
      <c r="AV578" s="5" t="str">
        <f t="shared" ref="AV578:BF587" si="806">"х"</f>
        <v>х</v>
      </c>
      <c r="AW578" s="5" t="str">
        <f t="shared" si="806"/>
        <v>х</v>
      </c>
      <c r="AX578" s="5" t="str">
        <f t="shared" si="806"/>
        <v>х</v>
      </c>
      <c r="AY578" s="5" t="str">
        <f t="shared" si="806"/>
        <v>х</v>
      </c>
      <c r="AZ578" s="5" t="str">
        <f t="shared" si="806"/>
        <v>х</v>
      </c>
      <c r="BA578" s="5" t="str">
        <f t="shared" si="806"/>
        <v>х</v>
      </c>
      <c r="BB578" s="5" t="str">
        <f t="shared" si="806"/>
        <v>х</v>
      </c>
      <c r="BC578" s="5" t="str">
        <f t="shared" si="806"/>
        <v>х</v>
      </c>
      <c r="BD578" s="5" t="str">
        <f t="shared" si="806"/>
        <v>х</v>
      </c>
      <c r="BE578" s="5" t="str">
        <f t="shared" si="806"/>
        <v>х</v>
      </c>
      <c r="BF578" s="5" t="str">
        <f t="shared" si="806"/>
        <v>х</v>
      </c>
      <c r="BG578" s="5" t="str">
        <f>""</f>
        <v/>
      </c>
      <c r="BH578" s="5" t="str">
        <f>""</f>
        <v/>
      </c>
      <c r="BI578" s="5" t="str">
        <f>""</f>
        <v/>
      </c>
      <c r="BJ578" s="5" t="str">
        <f>""</f>
        <v/>
      </c>
      <c r="BK578" s="5" t="str">
        <f>""</f>
        <v/>
      </c>
      <c r="BL578" s="5" t="str">
        <f>""</f>
        <v/>
      </c>
      <c r="BM578" s="5" t="str">
        <f>""</f>
        <v/>
      </c>
      <c r="BN578" s="5" t="str">
        <f>""</f>
        <v/>
      </c>
      <c r="BO578" s="5" t="str">
        <f>""</f>
        <v/>
      </c>
      <c r="BP578" s="5" t="str">
        <f>""</f>
        <v/>
      </c>
      <c r="BQ578" s="5" t="str">
        <f>""</f>
        <v/>
      </c>
      <c r="BR578" s="5" t="str">
        <f>""</f>
        <v/>
      </c>
      <c r="BS578" s="5" t="str">
        <f>"64,00"</f>
        <v>64,00</v>
      </c>
      <c r="BT578" s="5" t="str">
        <f>"2016"</f>
        <v>2016</v>
      </c>
      <c r="BU578" s="5" t="str">
        <f t="shared" si="796"/>
        <v>нет</v>
      </c>
      <c r="BV578" s="5" t="str">
        <f t="shared" si="799"/>
        <v>x</v>
      </c>
      <c r="BW578" s="5" t="str">
        <f t="shared" si="799"/>
        <v>x</v>
      </c>
      <c r="BX578" s="5" t="str">
        <f t="shared" si="799"/>
        <v>x</v>
      </c>
      <c r="BY578" s="5" t="str">
        <f t="shared" si="805"/>
        <v>нет</v>
      </c>
      <c r="BZ578" s="5" t="str">
        <f t="shared" ref="BZ578:CB597" si="807">"x"</f>
        <v>x</v>
      </c>
      <c r="CA578" s="5" t="str">
        <f t="shared" si="807"/>
        <v>x</v>
      </c>
      <c r="CB578" s="5" t="str">
        <f t="shared" si="807"/>
        <v>x</v>
      </c>
      <c r="CC578" s="5" t="str">
        <f>""</f>
        <v/>
      </c>
      <c r="CD578" s="5" t="str">
        <f>"64,00"</f>
        <v>64,00</v>
      </c>
      <c r="CE578" s="5" t="str">
        <f>"2021"</f>
        <v>2021</v>
      </c>
      <c r="CF578" s="5" t="str">
        <f>""</f>
        <v/>
      </c>
      <c r="CG578" s="5" t="str">
        <f>"70,00"</f>
        <v>70,00</v>
      </c>
      <c r="CH578" s="5" t="str">
        <f>"2021"</f>
        <v>2021</v>
      </c>
      <c r="CI578" s="5" t="str">
        <f>"52,00"</f>
        <v>52,00</v>
      </c>
      <c r="CJ578" s="5" t="str">
        <f>"2021"</f>
        <v>2021</v>
      </c>
    </row>
    <row r="579" spans="1:88" ht="11.25" customHeight="1">
      <c r="A579" s="3" t="str">
        <f>"1.566"</f>
        <v>1.566</v>
      </c>
      <c r="B579" s="4" t="str">
        <f>"пгт. Вохтога, ул. Пролетарская, д.5"</f>
        <v>пгт. Вохтога, ул. Пролетарская, д.5</v>
      </c>
      <c r="C579" s="7" t="str">
        <f>"1966"</f>
        <v>1966</v>
      </c>
      <c r="D579" s="5" t="str">
        <f>""</f>
        <v/>
      </c>
      <c r="E579" s="5" t="str">
        <f>"35,00"</f>
        <v>35,00</v>
      </c>
      <c r="F579" s="5" t="str">
        <f>"2022"</f>
        <v>2022</v>
      </c>
      <c r="G579" s="5" t="str">
        <f>"да"</f>
        <v>да</v>
      </c>
      <c r="H579" s="5" t="str">
        <f>"2012"</f>
        <v>2012</v>
      </c>
      <c r="I579" s="5" t="str">
        <f>"10,00"</f>
        <v>10,00</v>
      </c>
      <c r="J579" s="5" t="str">
        <f>"2022"</f>
        <v>2022</v>
      </c>
      <c r="K579" s="5" t="str">
        <f>"да"</f>
        <v>да</v>
      </c>
      <c r="L579" s="5" t="str">
        <f>""</f>
        <v/>
      </c>
      <c r="M579" s="5" t="str">
        <f>"35,00"</f>
        <v>35,00</v>
      </c>
      <c r="N579" s="5" t="str">
        <f>"2018"</f>
        <v>2018</v>
      </c>
      <c r="O579" s="8" t="str">
        <f>""</f>
        <v/>
      </c>
      <c r="P579" s="5" t="str">
        <f>"55,00"</f>
        <v>55,00</v>
      </c>
      <c r="Q579" s="5" t="str">
        <f>"2019"</f>
        <v>2019</v>
      </c>
      <c r="R579" s="5" t="str">
        <f>"нет"</f>
        <v>нет</v>
      </c>
      <c r="S579" s="5" t="str">
        <f>""</f>
        <v/>
      </c>
      <c r="T579" s="5" t="str">
        <f>""</f>
        <v/>
      </c>
      <c r="U579" s="5" t="str">
        <f>""</f>
        <v/>
      </c>
      <c r="V579" s="5" t="str">
        <f>"нет"</f>
        <v>нет</v>
      </c>
      <c r="W579" s="5" t="str">
        <f>""</f>
        <v/>
      </c>
      <c r="X579" s="5" t="str">
        <f>""</f>
        <v/>
      </c>
      <c r="Y579" s="9" t="str">
        <f>""</f>
        <v/>
      </c>
      <c r="Z579" s="5" t="str">
        <f>""</f>
        <v/>
      </c>
      <c r="AA579" s="5" t="str">
        <f>"5,00"</f>
        <v>5,00</v>
      </c>
      <c r="AB579" s="5" t="str">
        <f>"2042"</f>
        <v>2042</v>
      </c>
      <c r="AC579" s="5" t="str">
        <f>"нет"</f>
        <v>нет</v>
      </c>
      <c r="AD579" s="5" t="str">
        <f>""</f>
        <v/>
      </c>
      <c r="AE579" s="5" t="str">
        <f>""</f>
        <v/>
      </c>
      <c r="AF579" s="5" t="str">
        <f>""</f>
        <v/>
      </c>
      <c r="AG579" s="5" t="str">
        <f>"нет"</f>
        <v>нет</v>
      </c>
      <c r="AH579" s="5" t="str">
        <f>""</f>
        <v/>
      </c>
      <c r="AI579" s="5" t="str">
        <f>""</f>
        <v/>
      </c>
      <c r="AJ579" s="5" t="str">
        <f>""</f>
        <v/>
      </c>
      <c r="AK579" s="8" t="str">
        <f>""</f>
        <v/>
      </c>
      <c r="AL579" s="5" t="str">
        <f>"52,00"</f>
        <v>52,00</v>
      </c>
      <c r="AM579" s="5" t="str">
        <f>"2020"</f>
        <v>2020</v>
      </c>
      <c r="AN579" s="5" t="str">
        <f t="shared" si="802"/>
        <v>нет</v>
      </c>
      <c r="AO579" s="5" t="str">
        <f>""</f>
        <v/>
      </c>
      <c r="AP579" s="5" t="str">
        <f>""</f>
        <v/>
      </c>
      <c r="AQ579" s="5" t="str">
        <f>""</f>
        <v/>
      </c>
      <c r="AR579" s="5" t="str">
        <f t="shared" si="801"/>
        <v>нет</v>
      </c>
      <c r="AS579" s="5" t="str">
        <f>""</f>
        <v/>
      </c>
      <c r="AT579" s="5" t="str">
        <f>""</f>
        <v/>
      </c>
      <c r="AU579" s="5" t="str">
        <f>""</f>
        <v/>
      </c>
      <c r="AV579" s="5" t="str">
        <f t="shared" si="806"/>
        <v>х</v>
      </c>
      <c r="AW579" s="5" t="str">
        <f t="shared" si="806"/>
        <v>х</v>
      </c>
      <c r="AX579" s="5" t="str">
        <f t="shared" si="806"/>
        <v>х</v>
      </c>
      <c r="AY579" s="5" t="str">
        <f t="shared" si="806"/>
        <v>х</v>
      </c>
      <c r="AZ579" s="5" t="str">
        <f t="shared" si="806"/>
        <v>х</v>
      </c>
      <c r="BA579" s="5" t="str">
        <f t="shared" si="806"/>
        <v>х</v>
      </c>
      <c r="BB579" s="5" t="str">
        <f t="shared" si="806"/>
        <v>х</v>
      </c>
      <c r="BC579" s="5" t="str">
        <f t="shared" si="806"/>
        <v>х</v>
      </c>
      <c r="BD579" s="5" t="str">
        <f t="shared" si="806"/>
        <v>х</v>
      </c>
      <c r="BE579" s="5" t="str">
        <f t="shared" si="806"/>
        <v>х</v>
      </c>
      <c r="BF579" s="5" t="str">
        <f t="shared" si="806"/>
        <v>х</v>
      </c>
      <c r="BG579" s="5" t="str">
        <f>""</f>
        <v/>
      </c>
      <c r="BH579" s="5" t="str">
        <f>""</f>
        <v/>
      </c>
      <c r="BI579" s="5" t="str">
        <f>""</f>
        <v/>
      </c>
      <c r="BJ579" s="5" t="str">
        <f>""</f>
        <v/>
      </c>
      <c r="BK579" s="5" t="str">
        <f>""</f>
        <v/>
      </c>
      <c r="BL579" s="5" t="str">
        <f>""</f>
        <v/>
      </c>
      <c r="BM579" s="5" t="str">
        <f>""</f>
        <v/>
      </c>
      <c r="BN579" s="5" t="str">
        <f>""</f>
        <v/>
      </c>
      <c r="BO579" s="5" t="str">
        <f>""</f>
        <v/>
      </c>
      <c r="BP579" s="5" t="str">
        <f>""</f>
        <v/>
      </c>
      <c r="BQ579" s="5" t="str">
        <f>""</f>
        <v/>
      </c>
      <c r="BR579" s="5" t="str">
        <f>""</f>
        <v/>
      </c>
      <c r="BS579" s="5" t="str">
        <f>"63,00"</f>
        <v>63,00</v>
      </c>
      <c r="BT579" s="5" t="str">
        <f>"2017"</f>
        <v>2017</v>
      </c>
      <c r="BU579" s="5" t="str">
        <f t="shared" si="796"/>
        <v>нет</v>
      </c>
      <c r="BV579" s="5" t="str">
        <f t="shared" si="799"/>
        <v>x</v>
      </c>
      <c r="BW579" s="5" t="str">
        <f t="shared" si="799"/>
        <v>x</v>
      </c>
      <c r="BX579" s="5" t="str">
        <f t="shared" si="799"/>
        <v>x</v>
      </c>
      <c r="BY579" s="5" t="str">
        <f t="shared" si="805"/>
        <v>нет</v>
      </c>
      <c r="BZ579" s="5" t="str">
        <f t="shared" si="807"/>
        <v>x</v>
      </c>
      <c r="CA579" s="5" t="str">
        <f t="shared" si="807"/>
        <v>x</v>
      </c>
      <c r="CB579" s="5" t="str">
        <f t="shared" si="807"/>
        <v>x</v>
      </c>
      <c r="CC579" s="5" t="str">
        <f>""</f>
        <v/>
      </c>
      <c r="CD579" s="5" t="str">
        <f>"64,00"</f>
        <v>64,00</v>
      </c>
      <c r="CE579" s="5" t="str">
        <f>"2021"</f>
        <v>2021</v>
      </c>
      <c r="CF579" s="5" t="str">
        <f>""</f>
        <v/>
      </c>
      <c r="CG579" s="5" t="str">
        <f>"52,00"</f>
        <v>52,00</v>
      </c>
      <c r="CH579" s="5" t="str">
        <f>"2021"</f>
        <v>2021</v>
      </c>
      <c r="CI579" s="5" t="str">
        <f>"60,00"</f>
        <v>60,00</v>
      </c>
      <c r="CJ579" s="5" t="str">
        <f>"2021"</f>
        <v>2021</v>
      </c>
    </row>
    <row r="580" spans="1:88" ht="11.25" customHeight="1">
      <c r="A580" s="3" t="str">
        <f>"1.567"</f>
        <v>1.567</v>
      </c>
      <c r="B580" s="4" t="str">
        <f>"пгт. Вохтога, ул. Пролетарская, д.7"</f>
        <v>пгт. Вохтога, ул. Пролетарская, д.7</v>
      </c>
      <c r="C580" s="7" t="str">
        <f>"1966"</f>
        <v>1966</v>
      </c>
      <c r="D580" s="5" t="str">
        <f>""</f>
        <v/>
      </c>
      <c r="E580" s="5" t="str">
        <f>"35,00"</f>
        <v>35,00</v>
      </c>
      <c r="F580" s="5" t="str">
        <f>"2022"</f>
        <v>2022</v>
      </c>
      <c r="G580" s="5" t="str">
        <f>"да"</f>
        <v>да</v>
      </c>
      <c r="H580" s="5" t="str">
        <f>"2012"</f>
        <v>2012</v>
      </c>
      <c r="I580" s="5" t="str">
        <f>"5,00"</f>
        <v>5,00</v>
      </c>
      <c r="J580" s="5" t="str">
        <f>"2022"</f>
        <v>2022</v>
      </c>
      <c r="K580" s="5" t="str">
        <f>"да"</f>
        <v>да</v>
      </c>
      <c r="L580" s="5" t="str">
        <f>""</f>
        <v/>
      </c>
      <c r="M580" s="5" t="str">
        <f>"35,00"</f>
        <v>35,00</v>
      </c>
      <c r="N580" s="5" t="str">
        <f>"2022"</f>
        <v>2022</v>
      </c>
      <c r="O580" s="8" t="str">
        <f>""</f>
        <v/>
      </c>
      <c r="P580" s="5" t="str">
        <f>"53,00"</f>
        <v>53,00</v>
      </c>
      <c r="Q580" s="5" t="str">
        <f>"2019"</f>
        <v>2019</v>
      </c>
      <c r="R580" s="5" t="str">
        <f>"нет"</f>
        <v>нет</v>
      </c>
      <c r="S580" s="5" t="str">
        <f>""</f>
        <v/>
      </c>
      <c r="T580" s="5" t="str">
        <f>""</f>
        <v/>
      </c>
      <c r="U580" s="5" t="str">
        <f>""</f>
        <v/>
      </c>
      <c r="V580" s="5" t="str">
        <f>"нет"</f>
        <v>нет</v>
      </c>
      <c r="W580" s="5" t="str">
        <f>""</f>
        <v/>
      </c>
      <c r="X580" s="5" t="str">
        <f>""</f>
        <v/>
      </c>
      <c r="Y580" s="9" t="str">
        <f>""</f>
        <v/>
      </c>
      <c r="Z580" s="5" t="str">
        <f>""</f>
        <v/>
      </c>
      <c r="AA580" s="5" t="str">
        <f>"2,00"</f>
        <v>2,00</v>
      </c>
      <c r="AB580" s="5" t="str">
        <f>"2042"</f>
        <v>2042</v>
      </c>
      <c r="AC580" s="5" t="str">
        <f>"нет"</f>
        <v>нет</v>
      </c>
      <c r="AD580" s="5" t="str">
        <f>""</f>
        <v/>
      </c>
      <c r="AE580" s="5" t="str">
        <f>""</f>
        <v/>
      </c>
      <c r="AF580" s="5" t="str">
        <f>""</f>
        <v/>
      </c>
      <c r="AG580" s="5" t="str">
        <f>"нет"</f>
        <v>нет</v>
      </c>
      <c r="AH580" s="5" t="str">
        <f>""</f>
        <v/>
      </c>
      <c r="AI580" s="5" t="str">
        <f>""</f>
        <v/>
      </c>
      <c r="AJ580" s="5" t="str">
        <f>""</f>
        <v/>
      </c>
      <c r="AK580" s="8" t="str">
        <f>""</f>
        <v/>
      </c>
      <c r="AL580" s="5" t="str">
        <f>"54,00"</f>
        <v>54,00</v>
      </c>
      <c r="AM580" s="5" t="str">
        <f>"2022"</f>
        <v>2022</v>
      </c>
      <c r="AN580" s="5" t="str">
        <f t="shared" si="802"/>
        <v>нет</v>
      </c>
      <c r="AO580" s="5" t="str">
        <f>""</f>
        <v/>
      </c>
      <c r="AP580" s="5" t="str">
        <f>""</f>
        <v/>
      </c>
      <c r="AQ580" s="5" t="str">
        <f>""</f>
        <v/>
      </c>
      <c r="AR580" s="5" t="str">
        <f t="shared" si="801"/>
        <v>нет</v>
      </c>
      <c r="AS580" s="5" t="str">
        <f>""</f>
        <v/>
      </c>
      <c r="AT580" s="5" t="str">
        <f>""</f>
        <v/>
      </c>
      <c r="AU580" s="5" t="str">
        <f>""</f>
        <v/>
      </c>
      <c r="AV580" s="5" t="str">
        <f t="shared" si="806"/>
        <v>х</v>
      </c>
      <c r="AW580" s="5" t="str">
        <f t="shared" si="806"/>
        <v>х</v>
      </c>
      <c r="AX580" s="5" t="str">
        <f t="shared" si="806"/>
        <v>х</v>
      </c>
      <c r="AY580" s="5" t="str">
        <f t="shared" si="806"/>
        <v>х</v>
      </c>
      <c r="AZ580" s="5" t="str">
        <f t="shared" si="806"/>
        <v>х</v>
      </c>
      <c r="BA580" s="5" t="str">
        <f t="shared" si="806"/>
        <v>х</v>
      </c>
      <c r="BB580" s="5" t="str">
        <f t="shared" si="806"/>
        <v>х</v>
      </c>
      <c r="BC580" s="5" t="str">
        <f t="shared" si="806"/>
        <v>х</v>
      </c>
      <c r="BD580" s="5" t="str">
        <f t="shared" si="806"/>
        <v>х</v>
      </c>
      <c r="BE580" s="5" t="str">
        <f t="shared" si="806"/>
        <v>х</v>
      </c>
      <c r="BF580" s="5" t="str">
        <f t="shared" si="806"/>
        <v>х</v>
      </c>
      <c r="BG580" s="5" t="str">
        <f>""</f>
        <v/>
      </c>
      <c r="BH580" s="5" t="str">
        <f>""</f>
        <v/>
      </c>
      <c r="BI580" s="5" t="str">
        <f>""</f>
        <v/>
      </c>
      <c r="BJ580" s="5" t="str">
        <f>""</f>
        <v/>
      </c>
      <c r="BK580" s="5" t="str">
        <f>""</f>
        <v/>
      </c>
      <c r="BL580" s="5" t="str">
        <f>""</f>
        <v/>
      </c>
      <c r="BM580" s="5" t="str">
        <f>""</f>
        <v/>
      </c>
      <c r="BN580" s="5" t="str">
        <f>""</f>
        <v/>
      </c>
      <c r="BO580" s="5" t="str">
        <f>""</f>
        <v/>
      </c>
      <c r="BP580" s="5" t="str">
        <f>""</f>
        <v/>
      </c>
      <c r="BQ580" s="5" t="str">
        <f>""</f>
        <v/>
      </c>
      <c r="BR580" s="5" t="str">
        <f>""</f>
        <v/>
      </c>
      <c r="BS580" s="5" t="str">
        <f>"48,00"</f>
        <v>48,00</v>
      </c>
      <c r="BT580" s="5" t="str">
        <f>"2017"</f>
        <v>2017</v>
      </c>
      <c r="BU580" s="5" t="str">
        <f t="shared" si="796"/>
        <v>нет</v>
      </c>
      <c r="BV580" s="5" t="str">
        <f t="shared" ref="BV580:BX599" si="808">"x"</f>
        <v>x</v>
      </c>
      <c r="BW580" s="5" t="str">
        <f t="shared" si="808"/>
        <v>x</v>
      </c>
      <c r="BX580" s="5" t="str">
        <f t="shared" si="808"/>
        <v>x</v>
      </c>
      <c r="BY580" s="5" t="str">
        <f t="shared" si="805"/>
        <v>нет</v>
      </c>
      <c r="BZ580" s="5" t="str">
        <f t="shared" si="807"/>
        <v>x</v>
      </c>
      <c r="CA580" s="5" t="str">
        <f t="shared" si="807"/>
        <v>x</v>
      </c>
      <c r="CB580" s="5" t="str">
        <f t="shared" si="807"/>
        <v>x</v>
      </c>
      <c r="CC580" s="5" t="str">
        <f>""</f>
        <v/>
      </c>
      <c r="CD580" s="5" t="str">
        <f>"52,00"</f>
        <v>52,00</v>
      </c>
      <c r="CE580" s="5" t="str">
        <f>"2021"</f>
        <v>2021</v>
      </c>
      <c r="CF580" s="5" t="str">
        <f>""</f>
        <v/>
      </c>
      <c r="CG580" s="5" t="str">
        <f>"55,00"</f>
        <v>55,00</v>
      </c>
      <c r="CH580" s="5" t="str">
        <f>"2021"</f>
        <v>2021</v>
      </c>
      <c r="CI580" s="5" t="str">
        <f>"53,00"</f>
        <v>53,00</v>
      </c>
      <c r="CJ580" s="5" t="str">
        <f>"2021"</f>
        <v>2021</v>
      </c>
    </row>
    <row r="581" spans="1:88" ht="11.25" customHeight="1">
      <c r="A581" s="3" t="str">
        <f>"1.568"</f>
        <v>1.568</v>
      </c>
      <c r="B581" s="4" t="str">
        <f>"пгт. Вохтога, ул. Рабочая, д.11"</f>
        <v>пгт. Вохтога, ул. Рабочая, д.11</v>
      </c>
      <c r="C581" s="7" t="str">
        <f>"1957"</f>
        <v>1957</v>
      </c>
      <c r="D581" s="5" t="str">
        <f>""</f>
        <v/>
      </c>
      <c r="E581" s="5" t="str">
        <f>"45,00"</f>
        <v>45,00</v>
      </c>
      <c r="F581" s="5" t="str">
        <f>"2024"</f>
        <v>2024</v>
      </c>
      <c r="G581" s="5" t="str">
        <f t="shared" ref="G581:G608" si="809">"нет"</f>
        <v>нет</v>
      </c>
      <c r="H581" s="5" t="str">
        <f>""</f>
        <v/>
      </c>
      <c r="I581" s="5" t="str">
        <f>""</f>
        <v/>
      </c>
      <c r="J581" s="5" t="str">
        <f>""</f>
        <v/>
      </c>
      <c r="K581" s="5" t="str">
        <f t="shared" ref="K581:K608" si="810">"нет"</f>
        <v>нет</v>
      </c>
      <c r="L581" s="5" t="str">
        <f>""</f>
        <v/>
      </c>
      <c r="M581" s="5" t="str">
        <f>""</f>
        <v/>
      </c>
      <c r="N581" s="5" t="str">
        <f>""</f>
        <v/>
      </c>
      <c r="O581" s="8" t="str">
        <f>""</f>
        <v/>
      </c>
      <c r="P581" s="5" t="str">
        <f>""</f>
        <v/>
      </c>
      <c r="Q581" s="5" t="str">
        <f>""</f>
        <v/>
      </c>
      <c r="R581" s="5" t="str">
        <f>""</f>
        <v/>
      </c>
      <c r="S581" s="5" t="str">
        <f>""</f>
        <v/>
      </c>
      <c r="T581" s="5" t="str">
        <f>""</f>
        <v/>
      </c>
      <c r="U581" s="5" t="str">
        <f>""</f>
        <v/>
      </c>
      <c r="V581" s="5" t="str">
        <f>""</f>
        <v/>
      </c>
      <c r="W581" s="5" t="str">
        <f>""</f>
        <v/>
      </c>
      <c r="X581" s="5" t="str">
        <f>""</f>
        <v/>
      </c>
      <c r="Y581" s="9" t="str">
        <f>""</f>
        <v/>
      </c>
      <c r="Z581" s="5" t="str">
        <f>""</f>
        <v/>
      </c>
      <c r="AA581" s="5" t="str">
        <f>""</f>
        <v/>
      </c>
      <c r="AB581" s="5" t="str">
        <f>""</f>
        <v/>
      </c>
      <c r="AC581" s="5" t="str">
        <f>""</f>
        <v/>
      </c>
      <c r="AD581" s="5" t="str">
        <f>""</f>
        <v/>
      </c>
      <c r="AE581" s="5" t="str">
        <f>""</f>
        <v/>
      </c>
      <c r="AF581" s="5" t="str">
        <f>""</f>
        <v/>
      </c>
      <c r="AG581" s="5" t="str">
        <f>""</f>
        <v/>
      </c>
      <c r="AH581" s="5" t="str">
        <f>""</f>
        <v/>
      </c>
      <c r="AI581" s="5" t="str">
        <f>""</f>
        <v/>
      </c>
      <c r="AJ581" s="5" t="str">
        <f>""</f>
        <v/>
      </c>
      <c r="AK581" s="8" t="str">
        <f>""</f>
        <v/>
      </c>
      <c r="AL581" s="5" t="str">
        <f>"45,00"</f>
        <v>45,00</v>
      </c>
      <c r="AM581" s="5" t="str">
        <f>"2035"</f>
        <v>2035</v>
      </c>
      <c r="AN581" s="5" t="str">
        <f t="shared" si="802"/>
        <v>нет</v>
      </c>
      <c r="AO581" s="5" t="str">
        <f>""</f>
        <v/>
      </c>
      <c r="AP581" s="5" t="str">
        <f>""</f>
        <v/>
      </c>
      <c r="AQ581" s="5" t="str">
        <f>""</f>
        <v/>
      </c>
      <c r="AR581" s="5" t="str">
        <f t="shared" si="801"/>
        <v>нет</v>
      </c>
      <c r="AS581" s="5" t="str">
        <f>""</f>
        <v/>
      </c>
      <c r="AT581" s="5" t="str">
        <f>""</f>
        <v/>
      </c>
      <c r="AU581" s="5" t="str">
        <f>""</f>
        <v/>
      </c>
      <c r="AV581" s="5" t="str">
        <f t="shared" si="806"/>
        <v>х</v>
      </c>
      <c r="AW581" s="5" t="str">
        <f t="shared" si="806"/>
        <v>х</v>
      </c>
      <c r="AX581" s="5" t="str">
        <f t="shared" si="806"/>
        <v>х</v>
      </c>
      <c r="AY581" s="5" t="str">
        <f t="shared" si="806"/>
        <v>х</v>
      </c>
      <c r="AZ581" s="5" t="str">
        <f t="shared" si="806"/>
        <v>х</v>
      </c>
      <c r="BA581" s="5" t="str">
        <f t="shared" si="806"/>
        <v>х</v>
      </c>
      <c r="BB581" s="5" t="str">
        <f t="shared" si="806"/>
        <v>х</v>
      </c>
      <c r="BC581" s="5" t="str">
        <f t="shared" si="806"/>
        <v>х</v>
      </c>
      <c r="BD581" s="5" t="str">
        <f t="shared" si="806"/>
        <v>х</v>
      </c>
      <c r="BE581" s="5" t="str">
        <f t="shared" si="806"/>
        <v>х</v>
      </c>
      <c r="BF581" s="5" t="str">
        <f t="shared" si="806"/>
        <v>х</v>
      </c>
      <c r="BG581" s="5" t="str">
        <f>""</f>
        <v/>
      </c>
      <c r="BH581" s="5" t="str">
        <f>""</f>
        <v/>
      </c>
      <c r="BI581" s="5" t="str">
        <f>""</f>
        <v/>
      </c>
      <c r="BJ581" s="5" t="str">
        <f>""</f>
        <v/>
      </c>
      <c r="BK581" s="5" t="str">
        <f>""</f>
        <v/>
      </c>
      <c r="BL581" s="5" t="str">
        <f>""</f>
        <v/>
      </c>
      <c r="BM581" s="5" t="str">
        <f>""</f>
        <v/>
      </c>
      <c r="BN581" s="5" t="str">
        <f>""</f>
        <v/>
      </c>
      <c r="BO581" s="5" t="str">
        <f>""</f>
        <v/>
      </c>
      <c r="BP581" s="5" t="str">
        <f>""</f>
        <v/>
      </c>
      <c r="BQ581" s="5" t="str">
        <f>""</f>
        <v/>
      </c>
      <c r="BR581" s="5" t="str">
        <f>""</f>
        <v/>
      </c>
      <c r="BS581" s="5" t="str">
        <f>"45,00"</f>
        <v>45,00</v>
      </c>
      <c r="BT581" s="5" t="str">
        <f>"2021"</f>
        <v>2021</v>
      </c>
      <c r="BU581" s="5" t="str">
        <f t="shared" si="796"/>
        <v>нет</v>
      </c>
      <c r="BV581" s="5" t="str">
        <f t="shared" si="808"/>
        <v>x</v>
      </c>
      <c r="BW581" s="5" t="str">
        <f t="shared" si="808"/>
        <v>x</v>
      </c>
      <c r="BX581" s="5" t="str">
        <f t="shared" si="808"/>
        <v>x</v>
      </c>
      <c r="BY581" s="5" t="str">
        <f t="shared" si="805"/>
        <v>нет</v>
      </c>
      <c r="BZ581" s="5" t="str">
        <f t="shared" si="807"/>
        <v>x</v>
      </c>
      <c r="CA581" s="5" t="str">
        <f t="shared" si="807"/>
        <v>x</v>
      </c>
      <c r="CB581" s="5" t="str">
        <f t="shared" si="807"/>
        <v>x</v>
      </c>
      <c r="CC581" s="5" t="str">
        <f>""</f>
        <v/>
      </c>
      <c r="CD581" s="5" t="str">
        <f>"45,00"</f>
        <v>45,00</v>
      </c>
      <c r="CE581" s="5" t="str">
        <f>"2021"</f>
        <v>2021</v>
      </c>
      <c r="CF581" s="5" t="str">
        <f>""</f>
        <v/>
      </c>
      <c r="CG581" s="5" t="str">
        <f>"45,00"</f>
        <v>45,00</v>
      </c>
      <c r="CH581" s="5" t="str">
        <f>"2021"</f>
        <v>2021</v>
      </c>
      <c r="CI581" s="5" t="str">
        <f>"45,00"</f>
        <v>45,00</v>
      </c>
      <c r="CJ581" s="5" t="str">
        <f>"2021"</f>
        <v>2021</v>
      </c>
    </row>
    <row r="582" spans="1:88" ht="11.25" customHeight="1">
      <c r="A582" s="3" t="str">
        <f>"1.569"</f>
        <v>1.569</v>
      </c>
      <c r="B582" s="4" t="str">
        <f>"пгт. Вохтога, ул. Рабочая, д.8"</f>
        <v>пгт. Вохтога, ул. Рабочая, д.8</v>
      </c>
      <c r="C582" s="7" t="str">
        <f>"1954"</f>
        <v>1954</v>
      </c>
      <c r="D582" s="5" t="str">
        <f>""</f>
        <v/>
      </c>
      <c r="E582" s="5" t="str">
        <f>"36,00"</f>
        <v>36,00</v>
      </c>
      <c r="F582" s="5" t="str">
        <f>"2019"</f>
        <v>2019</v>
      </c>
      <c r="G582" s="5" t="str">
        <f t="shared" si="809"/>
        <v>нет</v>
      </c>
      <c r="H582" s="5" t="str">
        <f>""</f>
        <v/>
      </c>
      <c r="I582" s="5" t="str">
        <f>""</f>
        <v/>
      </c>
      <c r="J582" s="5" t="str">
        <f>""</f>
        <v/>
      </c>
      <c r="K582" s="5" t="str">
        <f t="shared" si="810"/>
        <v>нет</v>
      </c>
      <c r="L582" s="5" t="str">
        <f>""</f>
        <v/>
      </c>
      <c r="M582" s="5" t="str">
        <f>""</f>
        <v/>
      </c>
      <c r="N582" s="5" t="str">
        <f>""</f>
        <v/>
      </c>
      <c r="O582" s="8" t="str">
        <f>""</f>
        <v/>
      </c>
      <c r="P582" s="5" t="str">
        <f>""</f>
        <v/>
      </c>
      <c r="Q582" s="5" t="str">
        <f>""</f>
        <v/>
      </c>
      <c r="R582" s="5" t="str">
        <f>""</f>
        <v/>
      </c>
      <c r="S582" s="5" t="str">
        <f>""</f>
        <v/>
      </c>
      <c r="T582" s="5" t="str">
        <f>""</f>
        <v/>
      </c>
      <c r="U582" s="5" t="str">
        <f>""</f>
        <v/>
      </c>
      <c r="V582" s="5" t="str">
        <f>""</f>
        <v/>
      </c>
      <c r="W582" s="5" t="str">
        <f>""</f>
        <v/>
      </c>
      <c r="X582" s="5" t="str">
        <f>""</f>
        <v/>
      </c>
      <c r="Y582" s="9" t="str">
        <f>""</f>
        <v/>
      </c>
      <c r="Z582" s="5" t="str">
        <f t="shared" ref="Z582:AJ582" si="811">"х"</f>
        <v>х</v>
      </c>
      <c r="AA582" s="5" t="str">
        <f t="shared" si="811"/>
        <v>х</v>
      </c>
      <c r="AB582" s="5" t="str">
        <f t="shared" si="811"/>
        <v>х</v>
      </c>
      <c r="AC582" s="5" t="str">
        <f t="shared" si="811"/>
        <v>х</v>
      </c>
      <c r="AD582" s="5" t="str">
        <f t="shared" si="811"/>
        <v>х</v>
      </c>
      <c r="AE582" s="5" t="str">
        <f t="shared" si="811"/>
        <v>х</v>
      </c>
      <c r="AF582" s="5" t="str">
        <f t="shared" si="811"/>
        <v>х</v>
      </c>
      <c r="AG582" s="5" t="str">
        <f t="shared" si="811"/>
        <v>х</v>
      </c>
      <c r="AH582" s="5" t="str">
        <f t="shared" si="811"/>
        <v>х</v>
      </c>
      <c r="AI582" s="5" t="str">
        <f t="shared" si="811"/>
        <v>х</v>
      </c>
      <c r="AJ582" s="5" t="str">
        <f t="shared" si="811"/>
        <v>х</v>
      </c>
      <c r="AK582" s="8" t="str">
        <f>""</f>
        <v/>
      </c>
      <c r="AL582" s="5" t="str">
        <f>"39,00"</f>
        <v>39,00</v>
      </c>
      <c r="AM582" s="5" t="str">
        <f>"2019"</f>
        <v>2019</v>
      </c>
      <c r="AN582" s="5" t="str">
        <f t="shared" si="802"/>
        <v>нет</v>
      </c>
      <c r="AO582" s="5" t="str">
        <f>""</f>
        <v/>
      </c>
      <c r="AP582" s="5" t="str">
        <f>""</f>
        <v/>
      </c>
      <c r="AQ582" s="5" t="str">
        <f>""</f>
        <v/>
      </c>
      <c r="AR582" s="5" t="str">
        <f t="shared" si="801"/>
        <v>нет</v>
      </c>
      <c r="AS582" s="5" t="str">
        <f>""</f>
        <v/>
      </c>
      <c r="AT582" s="5" t="str">
        <f>""</f>
        <v/>
      </c>
      <c r="AU582" s="5" t="str">
        <f>""</f>
        <v/>
      </c>
      <c r="AV582" s="5" t="str">
        <f t="shared" si="806"/>
        <v>х</v>
      </c>
      <c r="AW582" s="5" t="str">
        <f t="shared" si="806"/>
        <v>х</v>
      </c>
      <c r="AX582" s="5" t="str">
        <f t="shared" si="806"/>
        <v>х</v>
      </c>
      <c r="AY582" s="5" t="str">
        <f t="shared" si="806"/>
        <v>х</v>
      </c>
      <c r="AZ582" s="5" t="str">
        <f t="shared" si="806"/>
        <v>х</v>
      </c>
      <c r="BA582" s="5" t="str">
        <f t="shared" si="806"/>
        <v>х</v>
      </c>
      <c r="BB582" s="5" t="str">
        <f t="shared" si="806"/>
        <v>х</v>
      </c>
      <c r="BC582" s="5" t="str">
        <f t="shared" si="806"/>
        <v>х</v>
      </c>
      <c r="BD582" s="5" t="str">
        <f t="shared" si="806"/>
        <v>х</v>
      </c>
      <c r="BE582" s="5" t="str">
        <f t="shared" si="806"/>
        <v>х</v>
      </c>
      <c r="BF582" s="5" t="str">
        <f t="shared" si="806"/>
        <v>х</v>
      </c>
      <c r="BG582" s="5" t="str">
        <f>""</f>
        <v/>
      </c>
      <c r="BH582" s="5" t="str">
        <f>""</f>
        <v/>
      </c>
      <c r="BI582" s="5" t="str">
        <f>""</f>
        <v/>
      </c>
      <c r="BJ582" s="5" t="str">
        <f>""</f>
        <v/>
      </c>
      <c r="BK582" s="5" t="str">
        <f>""</f>
        <v/>
      </c>
      <c r="BL582" s="5" t="str">
        <f>""</f>
        <v/>
      </c>
      <c r="BM582" s="5" t="str">
        <f>""</f>
        <v/>
      </c>
      <c r="BN582" s="5" t="str">
        <f>""</f>
        <v/>
      </c>
      <c r="BO582" s="5" t="str">
        <f>""</f>
        <v/>
      </c>
      <c r="BP582" s="5" t="str">
        <f>""</f>
        <v/>
      </c>
      <c r="BQ582" s="5" t="str">
        <f>""</f>
        <v/>
      </c>
      <c r="BR582" s="5" t="str">
        <f>""</f>
        <v/>
      </c>
      <c r="BS582" s="5" t="str">
        <f>"59,00"</f>
        <v>59,00</v>
      </c>
      <c r="BT582" s="5" t="str">
        <f>"2018"</f>
        <v>2018</v>
      </c>
      <c r="BU582" s="5" t="str">
        <f t="shared" si="796"/>
        <v>нет</v>
      </c>
      <c r="BV582" s="5" t="str">
        <f t="shared" si="808"/>
        <v>x</v>
      </c>
      <c r="BW582" s="5" t="str">
        <f t="shared" si="808"/>
        <v>x</v>
      </c>
      <c r="BX582" s="5" t="str">
        <f t="shared" si="808"/>
        <v>x</v>
      </c>
      <c r="BY582" s="5" t="str">
        <f t="shared" si="805"/>
        <v>нет</v>
      </c>
      <c r="BZ582" s="5" t="str">
        <f t="shared" si="807"/>
        <v>x</v>
      </c>
      <c r="CA582" s="5" t="str">
        <f t="shared" si="807"/>
        <v>x</v>
      </c>
      <c r="CB582" s="5" t="str">
        <f t="shared" si="807"/>
        <v>x</v>
      </c>
      <c r="CC582" s="5" t="str">
        <f>""</f>
        <v/>
      </c>
      <c r="CD582" s="5" t="str">
        <f>"55,00"</f>
        <v>55,00</v>
      </c>
      <c r="CE582" s="5" t="str">
        <f>"2019"</f>
        <v>2019</v>
      </c>
      <c r="CF582" s="5" t="str">
        <f>""</f>
        <v/>
      </c>
      <c r="CG582" s="5" t="str">
        <f>"48,00"</f>
        <v>48,00</v>
      </c>
      <c r="CH582" s="5" t="str">
        <f>"2019"</f>
        <v>2019</v>
      </c>
      <c r="CI582" s="5" t="str">
        <f>"53,00"</f>
        <v>53,00</v>
      </c>
      <c r="CJ582" s="5" t="str">
        <f>"2019"</f>
        <v>2019</v>
      </c>
    </row>
    <row r="583" spans="1:88" ht="11.25" customHeight="1">
      <c r="A583" s="3" t="str">
        <f>"1.570"</f>
        <v>1.570</v>
      </c>
      <c r="B583" s="4" t="str">
        <f>"пгт. Вохтога, ул. Рабочая, д.9"</f>
        <v>пгт. Вохтога, ул. Рабочая, д.9</v>
      </c>
      <c r="C583" s="7" t="str">
        <f>"1983"</f>
        <v>1983</v>
      </c>
      <c r="D583" s="5" t="str">
        <f>""</f>
        <v/>
      </c>
      <c r="E583" s="5" t="str">
        <f>"12,00"</f>
        <v>12,00</v>
      </c>
      <c r="F583" s="5" t="str">
        <f>"2022"</f>
        <v>2022</v>
      </c>
      <c r="G583" s="5" t="str">
        <f t="shared" si="809"/>
        <v>нет</v>
      </c>
      <c r="H583" s="5" t="str">
        <f>""</f>
        <v/>
      </c>
      <c r="I583" s="5" t="str">
        <f>""</f>
        <v/>
      </c>
      <c r="J583" s="5" t="str">
        <f>""</f>
        <v/>
      </c>
      <c r="K583" s="5" t="str">
        <f t="shared" si="810"/>
        <v>нет</v>
      </c>
      <c r="L583" s="5" t="str">
        <f>""</f>
        <v/>
      </c>
      <c r="M583" s="5" t="str">
        <f>""</f>
        <v/>
      </c>
      <c r="N583" s="5" t="str">
        <f>""</f>
        <v/>
      </c>
      <c r="O583" s="8" t="str">
        <f>""</f>
        <v/>
      </c>
      <c r="P583" s="5" t="str">
        <f>""</f>
        <v/>
      </c>
      <c r="Q583" s="5" t="str">
        <f>""</f>
        <v/>
      </c>
      <c r="R583" s="5" t="str">
        <f>""</f>
        <v/>
      </c>
      <c r="S583" s="5" t="str">
        <f>""</f>
        <v/>
      </c>
      <c r="T583" s="5" t="str">
        <f>""</f>
        <v/>
      </c>
      <c r="U583" s="5" t="str">
        <f>""</f>
        <v/>
      </c>
      <c r="V583" s="5" t="str">
        <f>""</f>
        <v/>
      </c>
      <c r="W583" s="5" t="str">
        <f>""</f>
        <v/>
      </c>
      <c r="X583" s="5" t="str">
        <f>""</f>
        <v/>
      </c>
      <c r="Y583" s="9" t="str">
        <f>""</f>
        <v/>
      </c>
      <c r="Z583" s="5" t="str">
        <f>""</f>
        <v/>
      </c>
      <c r="AA583" s="5" t="str">
        <f>""</f>
        <v/>
      </c>
      <c r="AB583" s="5" t="str">
        <f>""</f>
        <v/>
      </c>
      <c r="AC583" s="5" t="str">
        <f>""</f>
        <v/>
      </c>
      <c r="AD583" s="5" t="str">
        <f>""</f>
        <v/>
      </c>
      <c r="AE583" s="5" t="str">
        <f>""</f>
        <v/>
      </c>
      <c r="AF583" s="5" t="str">
        <f>""</f>
        <v/>
      </c>
      <c r="AG583" s="5" t="str">
        <f>""</f>
        <v/>
      </c>
      <c r="AH583" s="5" t="str">
        <f>""</f>
        <v/>
      </c>
      <c r="AI583" s="5" t="str">
        <f>""</f>
        <v/>
      </c>
      <c r="AJ583" s="5" t="str">
        <f>""</f>
        <v/>
      </c>
      <c r="AK583" s="8" t="str">
        <f>""</f>
        <v/>
      </c>
      <c r="AL583" s="5" t="str">
        <f>"10,00"</f>
        <v>10,00</v>
      </c>
      <c r="AM583" s="5" t="str">
        <f>"2035"</f>
        <v>2035</v>
      </c>
      <c r="AN583" s="5" t="str">
        <f t="shared" si="802"/>
        <v>нет</v>
      </c>
      <c r="AO583" s="5" t="str">
        <f>""</f>
        <v/>
      </c>
      <c r="AP583" s="5" t="str">
        <f>""</f>
        <v/>
      </c>
      <c r="AQ583" s="5" t="str">
        <f>""</f>
        <v/>
      </c>
      <c r="AR583" s="5" t="str">
        <f t="shared" si="801"/>
        <v>нет</v>
      </c>
      <c r="AS583" s="5" t="str">
        <f>""</f>
        <v/>
      </c>
      <c r="AT583" s="5" t="str">
        <f>""</f>
        <v/>
      </c>
      <c r="AU583" s="5" t="str">
        <f>""</f>
        <v/>
      </c>
      <c r="AV583" s="5" t="str">
        <f t="shared" si="806"/>
        <v>х</v>
      </c>
      <c r="AW583" s="5" t="str">
        <f t="shared" si="806"/>
        <v>х</v>
      </c>
      <c r="AX583" s="5" t="str">
        <f t="shared" si="806"/>
        <v>х</v>
      </c>
      <c r="AY583" s="5" t="str">
        <f t="shared" si="806"/>
        <v>х</v>
      </c>
      <c r="AZ583" s="5" t="str">
        <f t="shared" si="806"/>
        <v>х</v>
      </c>
      <c r="BA583" s="5" t="str">
        <f t="shared" si="806"/>
        <v>х</v>
      </c>
      <c r="BB583" s="5" t="str">
        <f t="shared" si="806"/>
        <v>х</v>
      </c>
      <c r="BC583" s="5" t="str">
        <f t="shared" si="806"/>
        <v>х</v>
      </c>
      <c r="BD583" s="5" t="str">
        <f t="shared" si="806"/>
        <v>х</v>
      </c>
      <c r="BE583" s="5" t="str">
        <f t="shared" si="806"/>
        <v>х</v>
      </c>
      <c r="BF583" s="5" t="str">
        <f t="shared" si="806"/>
        <v>х</v>
      </c>
      <c r="BG583" s="5" t="str">
        <f>""</f>
        <v/>
      </c>
      <c r="BH583" s="5" t="str">
        <f>""</f>
        <v/>
      </c>
      <c r="BI583" s="5" t="str">
        <f>""</f>
        <v/>
      </c>
      <c r="BJ583" s="5" t="str">
        <f>""</f>
        <v/>
      </c>
      <c r="BK583" s="5" t="str">
        <f>""</f>
        <v/>
      </c>
      <c r="BL583" s="5" t="str">
        <f>""</f>
        <v/>
      </c>
      <c r="BM583" s="5" t="str">
        <f>""</f>
        <v/>
      </c>
      <c r="BN583" s="5" t="str">
        <f>""</f>
        <v/>
      </c>
      <c r="BO583" s="5" t="str">
        <f>""</f>
        <v/>
      </c>
      <c r="BP583" s="5" t="str">
        <f>""</f>
        <v/>
      </c>
      <c r="BQ583" s="5" t="str">
        <f>""</f>
        <v/>
      </c>
      <c r="BR583" s="5" t="str">
        <f>""</f>
        <v/>
      </c>
      <c r="BS583" s="5" t="str">
        <f>"45,00"</f>
        <v>45,00</v>
      </c>
      <c r="BT583" s="5" t="str">
        <f>"2018"</f>
        <v>2018</v>
      </c>
      <c r="BU583" s="5" t="str">
        <f t="shared" si="796"/>
        <v>нет</v>
      </c>
      <c r="BV583" s="5" t="str">
        <f t="shared" si="808"/>
        <v>x</v>
      </c>
      <c r="BW583" s="5" t="str">
        <f t="shared" si="808"/>
        <v>x</v>
      </c>
      <c r="BX583" s="5" t="str">
        <f t="shared" si="808"/>
        <v>x</v>
      </c>
      <c r="BY583" s="5" t="str">
        <f t="shared" si="805"/>
        <v>нет</v>
      </c>
      <c r="BZ583" s="5" t="str">
        <f t="shared" si="807"/>
        <v>x</v>
      </c>
      <c r="CA583" s="5" t="str">
        <f t="shared" si="807"/>
        <v>x</v>
      </c>
      <c r="CB583" s="5" t="str">
        <f t="shared" si="807"/>
        <v>x</v>
      </c>
      <c r="CC583" s="5" t="str">
        <f>""</f>
        <v/>
      </c>
      <c r="CD583" s="5" t="str">
        <f>"25,00"</f>
        <v>25,00</v>
      </c>
      <c r="CE583" s="5" t="str">
        <f>"2022"</f>
        <v>2022</v>
      </c>
      <c r="CF583" s="5" t="str">
        <f>""</f>
        <v/>
      </c>
      <c r="CG583" s="5" t="str">
        <f>"17,00"</f>
        <v>17,00</v>
      </c>
      <c r="CH583" s="5" t="str">
        <f>"2022"</f>
        <v>2022</v>
      </c>
      <c r="CI583" s="5" t="str">
        <f>"28,00"</f>
        <v>28,00</v>
      </c>
      <c r="CJ583" s="5" t="str">
        <f>"2022"</f>
        <v>2022</v>
      </c>
    </row>
    <row r="584" spans="1:88" ht="11.25" customHeight="1">
      <c r="A584" s="3" t="str">
        <f>"1.571"</f>
        <v>1.571</v>
      </c>
      <c r="B584" s="4" t="str">
        <f>"пгт. Вохтога, ул. Советская, д.10"</f>
        <v>пгт. Вохтога, ул. Советская, д.10</v>
      </c>
      <c r="C584" s="7" t="str">
        <f>"1990"</f>
        <v>1990</v>
      </c>
      <c r="D584" s="5" t="str">
        <f>""</f>
        <v/>
      </c>
      <c r="E584" s="5" t="str">
        <f>"10,00"</f>
        <v>10,00</v>
      </c>
      <c r="F584" s="5" t="str">
        <f>"2034"</f>
        <v>2034</v>
      </c>
      <c r="G584" s="5" t="str">
        <f t="shared" si="809"/>
        <v>нет</v>
      </c>
      <c r="H584" s="5" t="str">
        <f>""</f>
        <v/>
      </c>
      <c r="I584" s="5" t="str">
        <f>""</f>
        <v/>
      </c>
      <c r="J584" s="5" t="str">
        <f>""</f>
        <v/>
      </c>
      <c r="K584" s="5" t="str">
        <f t="shared" si="810"/>
        <v>нет</v>
      </c>
      <c r="L584" s="5" t="str">
        <f>""</f>
        <v/>
      </c>
      <c r="M584" s="5" t="str">
        <f>""</f>
        <v/>
      </c>
      <c r="N584" s="5" t="str">
        <f>""</f>
        <v/>
      </c>
      <c r="O584" s="8" t="str">
        <f>""</f>
        <v/>
      </c>
      <c r="P584" s="5" t="str">
        <f>""</f>
        <v/>
      </c>
      <c r="Q584" s="5" t="str">
        <f>""</f>
        <v/>
      </c>
      <c r="R584" s="5" t="str">
        <f>""</f>
        <v/>
      </c>
      <c r="S584" s="5" t="str">
        <f>""</f>
        <v/>
      </c>
      <c r="T584" s="5" t="str">
        <f>""</f>
        <v/>
      </c>
      <c r="U584" s="5" t="str">
        <f>""</f>
        <v/>
      </c>
      <c r="V584" s="5" t="str">
        <f>""</f>
        <v/>
      </c>
      <c r="W584" s="5" t="str">
        <f>""</f>
        <v/>
      </c>
      <c r="X584" s="5" t="str">
        <f>""</f>
        <v/>
      </c>
      <c r="Y584" s="9" t="str">
        <f>""</f>
        <v/>
      </c>
      <c r="Z584" s="5" t="str">
        <f>""</f>
        <v/>
      </c>
      <c r="AA584" s="5" t="str">
        <f>""</f>
        <v/>
      </c>
      <c r="AB584" s="5" t="str">
        <f>""</f>
        <v/>
      </c>
      <c r="AC584" s="5" t="str">
        <f>""</f>
        <v/>
      </c>
      <c r="AD584" s="5" t="str">
        <f>""</f>
        <v/>
      </c>
      <c r="AE584" s="5" t="str">
        <f>""</f>
        <v/>
      </c>
      <c r="AF584" s="5" t="str">
        <f>""</f>
        <v/>
      </c>
      <c r="AG584" s="5" t="str">
        <f>""</f>
        <v/>
      </c>
      <c r="AH584" s="5" t="str">
        <f>""</f>
        <v/>
      </c>
      <c r="AI584" s="5" t="str">
        <f>""</f>
        <v/>
      </c>
      <c r="AJ584" s="5" t="str">
        <f>""</f>
        <v/>
      </c>
      <c r="AK584" s="8" t="str">
        <f>""</f>
        <v/>
      </c>
      <c r="AL584" s="5" t="str">
        <f>"12,00"</f>
        <v>12,00</v>
      </c>
      <c r="AM584" s="5" t="str">
        <f>"2034"</f>
        <v>2034</v>
      </c>
      <c r="AN584" s="5" t="str">
        <f t="shared" si="802"/>
        <v>нет</v>
      </c>
      <c r="AO584" s="5" t="str">
        <f>""</f>
        <v/>
      </c>
      <c r="AP584" s="5" t="str">
        <f>""</f>
        <v/>
      </c>
      <c r="AQ584" s="5" t="str">
        <f>""</f>
        <v/>
      </c>
      <c r="AR584" s="5" t="str">
        <f t="shared" si="801"/>
        <v>нет</v>
      </c>
      <c r="AS584" s="5" t="str">
        <f>""</f>
        <v/>
      </c>
      <c r="AT584" s="5" t="str">
        <f>""</f>
        <v/>
      </c>
      <c r="AU584" s="5" t="str">
        <f>""</f>
        <v/>
      </c>
      <c r="AV584" s="5" t="str">
        <f t="shared" si="806"/>
        <v>х</v>
      </c>
      <c r="AW584" s="5" t="str">
        <f t="shared" si="806"/>
        <v>х</v>
      </c>
      <c r="AX584" s="5" t="str">
        <f t="shared" si="806"/>
        <v>х</v>
      </c>
      <c r="AY584" s="5" t="str">
        <f t="shared" si="806"/>
        <v>х</v>
      </c>
      <c r="AZ584" s="5" t="str">
        <f t="shared" si="806"/>
        <v>х</v>
      </c>
      <c r="BA584" s="5" t="str">
        <f t="shared" si="806"/>
        <v>х</v>
      </c>
      <c r="BB584" s="5" t="str">
        <f t="shared" si="806"/>
        <v>х</v>
      </c>
      <c r="BC584" s="5" t="str">
        <f t="shared" si="806"/>
        <v>х</v>
      </c>
      <c r="BD584" s="5" t="str">
        <f t="shared" si="806"/>
        <v>х</v>
      </c>
      <c r="BE584" s="5" t="str">
        <f t="shared" si="806"/>
        <v>х</v>
      </c>
      <c r="BF584" s="5" t="str">
        <f t="shared" si="806"/>
        <v>х</v>
      </c>
      <c r="BG584" s="5" t="str">
        <f>""</f>
        <v/>
      </c>
      <c r="BH584" s="5" t="str">
        <f>""</f>
        <v/>
      </c>
      <c r="BI584" s="5" t="str">
        <f>""</f>
        <v/>
      </c>
      <c r="BJ584" s="5" t="str">
        <f>""</f>
        <v/>
      </c>
      <c r="BK584" s="5" t="str">
        <f>""</f>
        <v/>
      </c>
      <c r="BL584" s="5" t="str">
        <f>""</f>
        <v/>
      </c>
      <c r="BM584" s="5" t="str">
        <f>""</f>
        <v/>
      </c>
      <c r="BN584" s="5" t="str">
        <f>""</f>
        <v/>
      </c>
      <c r="BO584" s="5" t="str">
        <f>""</f>
        <v/>
      </c>
      <c r="BP584" s="5" t="str">
        <f>""</f>
        <v/>
      </c>
      <c r="BQ584" s="5" t="str">
        <f>""</f>
        <v/>
      </c>
      <c r="BR584" s="5" t="str">
        <f>""</f>
        <v/>
      </c>
      <c r="BS584" s="5" t="str">
        <f>"35,00"</f>
        <v>35,00</v>
      </c>
      <c r="BT584" s="5" t="str">
        <f>"2024"</f>
        <v>2024</v>
      </c>
      <c r="BU584" s="5" t="str">
        <f t="shared" si="796"/>
        <v>нет</v>
      </c>
      <c r="BV584" s="5" t="str">
        <f t="shared" si="808"/>
        <v>x</v>
      </c>
      <c r="BW584" s="5" t="str">
        <f t="shared" si="808"/>
        <v>x</v>
      </c>
      <c r="BX584" s="5" t="str">
        <f t="shared" si="808"/>
        <v>x</v>
      </c>
      <c r="BY584" s="5" t="str">
        <f t="shared" si="805"/>
        <v>нет</v>
      </c>
      <c r="BZ584" s="5" t="str">
        <f t="shared" si="807"/>
        <v>x</v>
      </c>
      <c r="CA584" s="5" t="str">
        <f t="shared" si="807"/>
        <v>x</v>
      </c>
      <c r="CB584" s="5" t="str">
        <f t="shared" si="807"/>
        <v>x</v>
      </c>
      <c r="CC584" s="5" t="str">
        <f>""</f>
        <v/>
      </c>
      <c r="CD584" s="5" t="str">
        <f>"25,00"</f>
        <v>25,00</v>
      </c>
      <c r="CE584" s="5" t="str">
        <f>"2024"</f>
        <v>2024</v>
      </c>
      <c r="CF584" s="5" t="str">
        <f>""</f>
        <v/>
      </c>
      <c r="CG584" s="5" t="str">
        <f>"20,00"</f>
        <v>20,00</v>
      </c>
      <c r="CH584" s="5" t="str">
        <f>"2024"</f>
        <v>2024</v>
      </c>
      <c r="CI584" s="5" t="str">
        <f>"25,00"</f>
        <v>25,00</v>
      </c>
      <c r="CJ584" s="5" t="str">
        <f>"2024"</f>
        <v>2024</v>
      </c>
    </row>
    <row r="585" spans="1:88" ht="11.25" customHeight="1">
      <c r="A585" s="3" t="str">
        <f>"1.572"</f>
        <v>1.572</v>
      </c>
      <c r="B585" s="4" t="str">
        <f>"пгт. Вохтога, ул. Советская, д.6"</f>
        <v>пгт. Вохтога, ул. Советская, д.6</v>
      </c>
      <c r="C585" s="7" t="str">
        <f>"1989"</f>
        <v>1989</v>
      </c>
      <c r="D585" s="5" t="str">
        <f>""</f>
        <v/>
      </c>
      <c r="E585" s="5" t="str">
        <f>"10,00"</f>
        <v>10,00</v>
      </c>
      <c r="F585" s="5" t="str">
        <f>"2035"</f>
        <v>2035</v>
      </c>
      <c r="G585" s="5" t="str">
        <f t="shared" si="809"/>
        <v>нет</v>
      </c>
      <c r="H585" s="5" t="str">
        <f>""</f>
        <v/>
      </c>
      <c r="I585" s="5" t="str">
        <f>""</f>
        <v/>
      </c>
      <c r="J585" s="5" t="str">
        <f>""</f>
        <v/>
      </c>
      <c r="K585" s="5" t="str">
        <f t="shared" si="810"/>
        <v>нет</v>
      </c>
      <c r="L585" s="5" t="str">
        <f>""</f>
        <v/>
      </c>
      <c r="M585" s="5" t="str">
        <f>""</f>
        <v/>
      </c>
      <c r="N585" s="5" t="str">
        <f>""</f>
        <v/>
      </c>
      <c r="O585" s="8" t="str">
        <f>""</f>
        <v/>
      </c>
      <c r="P585" s="5" t="str">
        <f>""</f>
        <v/>
      </c>
      <c r="Q585" s="5" t="str">
        <f>""</f>
        <v/>
      </c>
      <c r="R585" s="5" t="str">
        <f>""</f>
        <v/>
      </c>
      <c r="S585" s="5" t="str">
        <f>""</f>
        <v/>
      </c>
      <c r="T585" s="5" t="str">
        <f>""</f>
        <v/>
      </c>
      <c r="U585" s="5" t="str">
        <f>""</f>
        <v/>
      </c>
      <c r="V585" s="5" t="str">
        <f>""</f>
        <v/>
      </c>
      <c r="W585" s="5" t="str">
        <f>""</f>
        <v/>
      </c>
      <c r="X585" s="5" t="str">
        <f>""</f>
        <v/>
      </c>
      <c r="Y585" s="9" t="str">
        <f>""</f>
        <v/>
      </c>
      <c r="Z585" s="5" t="str">
        <f>""</f>
        <v/>
      </c>
      <c r="AA585" s="5" t="str">
        <f>""</f>
        <v/>
      </c>
      <c r="AB585" s="5" t="str">
        <f>""</f>
        <v/>
      </c>
      <c r="AC585" s="5" t="str">
        <f>""</f>
        <v/>
      </c>
      <c r="AD585" s="5" t="str">
        <f>""</f>
        <v/>
      </c>
      <c r="AE585" s="5" t="str">
        <f>""</f>
        <v/>
      </c>
      <c r="AF585" s="5" t="str">
        <f>""</f>
        <v/>
      </c>
      <c r="AG585" s="5" t="str">
        <f>""</f>
        <v/>
      </c>
      <c r="AH585" s="5" t="str">
        <f>""</f>
        <v/>
      </c>
      <c r="AI585" s="5" t="str">
        <f>""</f>
        <v/>
      </c>
      <c r="AJ585" s="5" t="str">
        <f>""</f>
        <v/>
      </c>
      <c r="AK585" s="8" t="str">
        <f>""</f>
        <v/>
      </c>
      <c r="AL585" s="5" t="str">
        <f>"5,00"</f>
        <v>5,00</v>
      </c>
      <c r="AM585" s="5" t="str">
        <f>"2035"</f>
        <v>2035</v>
      </c>
      <c r="AN585" s="5" t="str">
        <f t="shared" si="802"/>
        <v>нет</v>
      </c>
      <c r="AO585" s="5" t="str">
        <f>""</f>
        <v/>
      </c>
      <c r="AP585" s="5" t="str">
        <f>""</f>
        <v/>
      </c>
      <c r="AQ585" s="5" t="str">
        <f>""</f>
        <v/>
      </c>
      <c r="AR585" s="5" t="str">
        <f t="shared" si="801"/>
        <v>нет</v>
      </c>
      <c r="AS585" s="5" t="str">
        <f>""</f>
        <v/>
      </c>
      <c r="AT585" s="5" t="str">
        <f>""</f>
        <v/>
      </c>
      <c r="AU585" s="5" t="str">
        <f>""</f>
        <v/>
      </c>
      <c r="AV585" s="5" t="str">
        <f t="shared" si="806"/>
        <v>х</v>
      </c>
      <c r="AW585" s="5" t="str">
        <f t="shared" si="806"/>
        <v>х</v>
      </c>
      <c r="AX585" s="5" t="str">
        <f t="shared" si="806"/>
        <v>х</v>
      </c>
      <c r="AY585" s="5" t="str">
        <f t="shared" si="806"/>
        <v>х</v>
      </c>
      <c r="AZ585" s="5" t="str">
        <f t="shared" si="806"/>
        <v>х</v>
      </c>
      <c r="BA585" s="5" t="str">
        <f t="shared" si="806"/>
        <v>х</v>
      </c>
      <c r="BB585" s="5" t="str">
        <f t="shared" si="806"/>
        <v>х</v>
      </c>
      <c r="BC585" s="5" t="str">
        <f t="shared" si="806"/>
        <v>х</v>
      </c>
      <c r="BD585" s="5" t="str">
        <f t="shared" si="806"/>
        <v>х</v>
      </c>
      <c r="BE585" s="5" t="str">
        <f t="shared" si="806"/>
        <v>х</v>
      </c>
      <c r="BF585" s="5" t="str">
        <f t="shared" si="806"/>
        <v>х</v>
      </c>
      <c r="BG585" s="5" t="str">
        <f>""</f>
        <v/>
      </c>
      <c r="BH585" s="5" t="str">
        <f>""</f>
        <v/>
      </c>
      <c r="BI585" s="5" t="str">
        <f>""</f>
        <v/>
      </c>
      <c r="BJ585" s="5" t="str">
        <f>""</f>
        <v/>
      </c>
      <c r="BK585" s="5" t="str">
        <f>""</f>
        <v/>
      </c>
      <c r="BL585" s="5" t="str">
        <f>""</f>
        <v/>
      </c>
      <c r="BM585" s="5" t="str">
        <f>""</f>
        <v/>
      </c>
      <c r="BN585" s="5" t="str">
        <f>""</f>
        <v/>
      </c>
      <c r="BO585" s="5" t="str">
        <f>""</f>
        <v/>
      </c>
      <c r="BP585" s="5" t="str">
        <f>""</f>
        <v/>
      </c>
      <c r="BQ585" s="5" t="str">
        <f>""</f>
        <v/>
      </c>
      <c r="BR585" s="5" t="str">
        <f>""</f>
        <v/>
      </c>
      <c r="BS585" s="5" t="str">
        <f>"29,00"</f>
        <v>29,00</v>
      </c>
      <c r="BT585" s="5" t="str">
        <f>"2021"</f>
        <v>2021</v>
      </c>
      <c r="BU585" s="5" t="str">
        <f t="shared" si="796"/>
        <v>нет</v>
      </c>
      <c r="BV585" s="5" t="str">
        <f t="shared" si="808"/>
        <v>x</v>
      </c>
      <c r="BW585" s="5" t="str">
        <f t="shared" si="808"/>
        <v>x</v>
      </c>
      <c r="BX585" s="5" t="str">
        <f t="shared" si="808"/>
        <v>x</v>
      </c>
      <c r="BY585" s="5" t="str">
        <f t="shared" si="805"/>
        <v>нет</v>
      </c>
      <c r="BZ585" s="5" t="str">
        <f t="shared" si="807"/>
        <v>x</v>
      </c>
      <c r="CA585" s="5" t="str">
        <f t="shared" si="807"/>
        <v>x</v>
      </c>
      <c r="CB585" s="5" t="str">
        <f t="shared" si="807"/>
        <v>x</v>
      </c>
      <c r="CC585" s="5" t="str">
        <f>""</f>
        <v/>
      </c>
      <c r="CD585" s="5" t="str">
        <f>"45,00"</f>
        <v>45,00</v>
      </c>
      <c r="CE585" s="5" t="str">
        <f>"2021"</f>
        <v>2021</v>
      </c>
      <c r="CF585" s="5" t="str">
        <f>""</f>
        <v/>
      </c>
      <c r="CG585" s="5" t="str">
        <f>"25,00"</f>
        <v>25,00</v>
      </c>
      <c r="CH585" s="5" t="str">
        <f>"2021"</f>
        <v>2021</v>
      </c>
      <c r="CI585" s="5" t="str">
        <f>"15,00"</f>
        <v>15,00</v>
      </c>
      <c r="CJ585" s="5" t="str">
        <f>"2022"</f>
        <v>2022</v>
      </c>
    </row>
    <row r="586" spans="1:88" ht="11.25" customHeight="1">
      <c r="A586" s="3" t="str">
        <f>"1.573"</f>
        <v>1.573</v>
      </c>
      <c r="B586" s="4" t="str">
        <f>"пгт. Вохтога, ул. Советская, д.8"</f>
        <v>пгт. Вохтога, ул. Советская, д.8</v>
      </c>
      <c r="C586" s="7" t="str">
        <f>"1985"</f>
        <v>1985</v>
      </c>
      <c r="D586" s="5" t="str">
        <f>""</f>
        <v/>
      </c>
      <c r="E586" s="5" t="str">
        <f>"15,00"</f>
        <v>15,00</v>
      </c>
      <c r="F586" s="5" t="str">
        <f>"2038"</f>
        <v>2038</v>
      </c>
      <c r="G586" s="5" t="str">
        <f t="shared" si="809"/>
        <v>нет</v>
      </c>
      <c r="H586" s="5" t="str">
        <f>""</f>
        <v/>
      </c>
      <c r="I586" s="5" t="str">
        <f>""</f>
        <v/>
      </c>
      <c r="J586" s="5" t="str">
        <f>""</f>
        <v/>
      </c>
      <c r="K586" s="5" t="str">
        <f t="shared" si="810"/>
        <v>нет</v>
      </c>
      <c r="L586" s="5" t="str">
        <f>""</f>
        <v/>
      </c>
      <c r="M586" s="5" t="str">
        <f>""</f>
        <v/>
      </c>
      <c r="N586" s="5" t="str">
        <f>""</f>
        <v/>
      </c>
      <c r="O586" s="8" t="str">
        <f>""</f>
        <v/>
      </c>
      <c r="P586" s="5" t="str">
        <f>""</f>
        <v/>
      </c>
      <c r="Q586" s="5" t="str">
        <f>""</f>
        <v/>
      </c>
      <c r="R586" s="5" t="str">
        <f>""</f>
        <v/>
      </c>
      <c r="S586" s="5" t="str">
        <f>""</f>
        <v/>
      </c>
      <c r="T586" s="5" t="str">
        <f>""</f>
        <v/>
      </c>
      <c r="U586" s="5" t="str">
        <f>""</f>
        <v/>
      </c>
      <c r="V586" s="5" t="str">
        <f>""</f>
        <v/>
      </c>
      <c r="W586" s="5" t="str">
        <f>""</f>
        <v/>
      </c>
      <c r="X586" s="5" t="str">
        <f>""</f>
        <v/>
      </c>
      <c r="Y586" s="9" t="str">
        <f>""</f>
        <v/>
      </c>
      <c r="Z586" s="5" t="str">
        <f>""</f>
        <v/>
      </c>
      <c r="AA586" s="5" t="str">
        <f>""</f>
        <v/>
      </c>
      <c r="AB586" s="5" t="str">
        <f>""</f>
        <v/>
      </c>
      <c r="AC586" s="5" t="str">
        <f>""</f>
        <v/>
      </c>
      <c r="AD586" s="5" t="str">
        <f>""</f>
        <v/>
      </c>
      <c r="AE586" s="5" t="str">
        <f>""</f>
        <v/>
      </c>
      <c r="AF586" s="5" t="str">
        <f>""</f>
        <v/>
      </c>
      <c r="AG586" s="5" t="str">
        <f>""</f>
        <v/>
      </c>
      <c r="AH586" s="5" t="str">
        <f>""</f>
        <v/>
      </c>
      <c r="AI586" s="5" t="str">
        <f>""</f>
        <v/>
      </c>
      <c r="AJ586" s="5" t="str">
        <f>""</f>
        <v/>
      </c>
      <c r="AK586" s="8" t="str">
        <f>""</f>
        <v/>
      </c>
      <c r="AL586" s="5" t="str">
        <f>"12,00"</f>
        <v>12,00</v>
      </c>
      <c r="AM586" s="5" t="str">
        <f>"2035"</f>
        <v>2035</v>
      </c>
      <c r="AN586" s="5" t="str">
        <f t="shared" si="802"/>
        <v>нет</v>
      </c>
      <c r="AO586" s="5" t="str">
        <f>""</f>
        <v/>
      </c>
      <c r="AP586" s="5" t="str">
        <f>""</f>
        <v/>
      </c>
      <c r="AQ586" s="5" t="str">
        <f>""</f>
        <v/>
      </c>
      <c r="AR586" s="5" t="str">
        <f t="shared" si="801"/>
        <v>нет</v>
      </c>
      <c r="AS586" s="5" t="str">
        <f>""</f>
        <v/>
      </c>
      <c r="AT586" s="5" t="str">
        <f>""</f>
        <v/>
      </c>
      <c r="AU586" s="5" t="str">
        <f>""</f>
        <v/>
      </c>
      <c r="AV586" s="5" t="str">
        <f t="shared" si="806"/>
        <v>х</v>
      </c>
      <c r="AW586" s="5" t="str">
        <f t="shared" si="806"/>
        <v>х</v>
      </c>
      <c r="AX586" s="5" t="str">
        <f t="shared" si="806"/>
        <v>х</v>
      </c>
      <c r="AY586" s="5" t="str">
        <f t="shared" si="806"/>
        <v>х</v>
      </c>
      <c r="AZ586" s="5" t="str">
        <f t="shared" si="806"/>
        <v>х</v>
      </c>
      <c r="BA586" s="5" t="str">
        <f t="shared" si="806"/>
        <v>х</v>
      </c>
      <c r="BB586" s="5" t="str">
        <f t="shared" si="806"/>
        <v>х</v>
      </c>
      <c r="BC586" s="5" t="str">
        <f t="shared" si="806"/>
        <v>х</v>
      </c>
      <c r="BD586" s="5" t="str">
        <f t="shared" si="806"/>
        <v>х</v>
      </c>
      <c r="BE586" s="5" t="str">
        <f t="shared" si="806"/>
        <v>х</v>
      </c>
      <c r="BF586" s="5" t="str">
        <f t="shared" si="806"/>
        <v>х</v>
      </c>
      <c r="BG586" s="5" t="str">
        <f>""</f>
        <v/>
      </c>
      <c r="BH586" s="5" t="str">
        <f>""</f>
        <v/>
      </c>
      <c r="BI586" s="5" t="str">
        <f>""</f>
        <v/>
      </c>
      <c r="BJ586" s="5" t="str">
        <f>""</f>
        <v/>
      </c>
      <c r="BK586" s="5" t="str">
        <f>""</f>
        <v/>
      </c>
      <c r="BL586" s="5" t="str">
        <f>""</f>
        <v/>
      </c>
      <c r="BM586" s="5" t="str">
        <f>""</f>
        <v/>
      </c>
      <c r="BN586" s="5" t="str">
        <f>""</f>
        <v/>
      </c>
      <c r="BO586" s="5" t="str">
        <f>""</f>
        <v/>
      </c>
      <c r="BP586" s="5" t="str">
        <f>""</f>
        <v/>
      </c>
      <c r="BQ586" s="5" t="str">
        <f>""</f>
        <v/>
      </c>
      <c r="BR586" s="5" t="str">
        <f>""</f>
        <v/>
      </c>
      <c r="BS586" s="5" t="str">
        <f>"35,00"</f>
        <v>35,00</v>
      </c>
      <c r="BT586" s="5" t="str">
        <f>"2023"</f>
        <v>2023</v>
      </c>
      <c r="BU586" s="5" t="str">
        <f t="shared" si="796"/>
        <v>нет</v>
      </c>
      <c r="BV586" s="5" t="str">
        <f t="shared" si="808"/>
        <v>x</v>
      </c>
      <c r="BW586" s="5" t="str">
        <f t="shared" si="808"/>
        <v>x</v>
      </c>
      <c r="BX586" s="5" t="str">
        <f t="shared" si="808"/>
        <v>x</v>
      </c>
      <c r="BY586" s="5" t="str">
        <f t="shared" si="805"/>
        <v>нет</v>
      </c>
      <c r="BZ586" s="5" t="str">
        <f t="shared" si="807"/>
        <v>x</v>
      </c>
      <c r="CA586" s="5" t="str">
        <f t="shared" si="807"/>
        <v>x</v>
      </c>
      <c r="CB586" s="5" t="str">
        <f t="shared" si="807"/>
        <v>x</v>
      </c>
      <c r="CC586" s="5" t="str">
        <f>""</f>
        <v/>
      </c>
      <c r="CD586" s="5" t="str">
        <f>"55,00"</f>
        <v>55,00</v>
      </c>
      <c r="CE586" s="5" t="str">
        <f>"2022"</f>
        <v>2022</v>
      </c>
      <c r="CF586" s="5" t="str">
        <f>""</f>
        <v/>
      </c>
      <c r="CG586" s="5" t="str">
        <f>"48,00"</f>
        <v>48,00</v>
      </c>
      <c r="CH586" s="5" t="str">
        <f>"2022"</f>
        <v>2022</v>
      </c>
      <c r="CI586" s="5" t="str">
        <f>"49,00"</f>
        <v>49,00</v>
      </c>
      <c r="CJ586" s="5" t="str">
        <f>"2022"</f>
        <v>2022</v>
      </c>
    </row>
    <row r="587" spans="1:88" ht="11.25" customHeight="1">
      <c r="A587" s="3" t="str">
        <f>"1.574"</f>
        <v>1.574</v>
      </c>
      <c r="B587" s="4" t="str">
        <f>"пгт. Вохтога, ул. Строителей, д.10"</f>
        <v>пгт. Вохтога, ул. Строителей, д.10</v>
      </c>
      <c r="C587" s="7" t="str">
        <f>"1974"</f>
        <v>1974</v>
      </c>
      <c r="D587" s="5" t="str">
        <f>""</f>
        <v/>
      </c>
      <c r="E587" s="5" t="str">
        <f>"45,00"</f>
        <v>45,00</v>
      </c>
      <c r="F587" s="5" t="str">
        <f>"2019"</f>
        <v>2019</v>
      </c>
      <c r="G587" s="5" t="str">
        <f t="shared" si="809"/>
        <v>нет</v>
      </c>
      <c r="H587" s="5" t="str">
        <f>""</f>
        <v/>
      </c>
      <c r="I587" s="5" t="str">
        <f>""</f>
        <v/>
      </c>
      <c r="J587" s="5" t="str">
        <f>""</f>
        <v/>
      </c>
      <c r="K587" s="5" t="str">
        <f t="shared" si="810"/>
        <v>нет</v>
      </c>
      <c r="L587" s="5" t="str">
        <f>""</f>
        <v/>
      </c>
      <c r="M587" s="5" t="str">
        <f>""</f>
        <v/>
      </c>
      <c r="N587" s="5" t="str">
        <f>""</f>
        <v/>
      </c>
      <c r="O587" s="8" t="str">
        <f>""</f>
        <v/>
      </c>
      <c r="P587" s="5" t="str">
        <f>"45,00"</f>
        <v>45,00</v>
      </c>
      <c r="Q587" s="5" t="str">
        <f>"2019"</f>
        <v>2019</v>
      </c>
      <c r="R587" s="5" t="str">
        <f t="shared" ref="R587:R625" si="812">"нет"</f>
        <v>нет</v>
      </c>
      <c r="S587" s="5" t="str">
        <f>""</f>
        <v/>
      </c>
      <c r="T587" s="5" t="str">
        <f>""</f>
        <v/>
      </c>
      <c r="U587" s="5" t="str">
        <f>""</f>
        <v/>
      </c>
      <c r="V587" s="5" t="str">
        <f t="shared" ref="V587:V631" si="813">"нет"</f>
        <v>нет</v>
      </c>
      <c r="W587" s="5" t="str">
        <f>""</f>
        <v/>
      </c>
      <c r="X587" s="5" t="str">
        <f>""</f>
        <v/>
      </c>
      <c r="Y587" s="9" t="str">
        <f>""</f>
        <v/>
      </c>
      <c r="Z587" s="5" t="str">
        <f>""</f>
        <v/>
      </c>
      <c r="AA587" s="5" t="str">
        <f>""</f>
        <v/>
      </c>
      <c r="AB587" s="5" t="str">
        <f>""</f>
        <v/>
      </c>
      <c r="AC587" s="5" t="str">
        <f>""</f>
        <v/>
      </c>
      <c r="AD587" s="5" t="str">
        <f>""</f>
        <v/>
      </c>
      <c r="AE587" s="5" t="str">
        <f>""</f>
        <v/>
      </c>
      <c r="AF587" s="5" t="str">
        <f>""</f>
        <v/>
      </c>
      <c r="AG587" s="5" t="str">
        <f>""</f>
        <v/>
      </c>
      <c r="AH587" s="5" t="str">
        <f>""</f>
        <v/>
      </c>
      <c r="AI587" s="5" t="str">
        <f>""</f>
        <v/>
      </c>
      <c r="AJ587" s="5" t="str">
        <f>""</f>
        <v/>
      </c>
      <c r="AK587" s="8" t="str">
        <f>""</f>
        <v/>
      </c>
      <c r="AL587" s="5" t="str">
        <f>"45,00"</f>
        <v>45,00</v>
      </c>
      <c r="AM587" s="5" t="str">
        <f>"2019"</f>
        <v>2019</v>
      </c>
      <c r="AN587" s="5" t="str">
        <f t="shared" si="802"/>
        <v>нет</v>
      </c>
      <c r="AO587" s="5" t="str">
        <f>""</f>
        <v/>
      </c>
      <c r="AP587" s="5" t="str">
        <f>""</f>
        <v/>
      </c>
      <c r="AQ587" s="5" t="str">
        <f>""</f>
        <v/>
      </c>
      <c r="AR587" s="5" t="str">
        <f t="shared" si="801"/>
        <v>нет</v>
      </c>
      <c r="AS587" s="5" t="str">
        <f>""</f>
        <v/>
      </c>
      <c r="AT587" s="5" t="str">
        <f>""</f>
        <v/>
      </c>
      <c r="AU587" s="5" t="str">
        <f>""</f>
        <v/>
      </c>
      <c r="AV587" s="5" t="str">
        <f t="shared" si="806"/>
        <v>х</v>
      </c>
      <c r="AW587" s="5" t="str">
        <f t="shared" si="806"/>
        <v>х</v>
      </c>
      <c r="AX587" s="5" t="str">
        <f t="shared" si="806"/>
        <v>х</v>
      </c>
      <c r="AY587" s="5" t="str">
        <f t="shared" si="806"/>
        <v>х</v>
      </c>
      <c r="AZ587" s="5" t="str">
        <f t="shared" si="806"/>
        <v>х</v>
      </c>
      <c r="BA587" s="5" t="str">
        <f t="shared" si="806"/>
        <v>х</v>
      </c>
      <c r="BB587" s="5" t="str">
        <f t="shared" si="806"/>
        <v>х</v>
      </c>
      <c r="BC587" s="5" t="str">
        <f t="shared" si="806"/>
        <v>х</v>
      </c>
      <c r="BD587" s="5" t="str">
        <f t="shared" si="806"/>
        <v>х</v>
      </c>
      <c r="BE587" s="5" t="str">
        <f t="shared" si="806"/>
        <v>х</v>
      </c>
      <c r="BF587" s="5" t="str">
        <f t="shared" si="806"/>
        <v>х</v>
      </c>
      <c r="BG587" s="5" t="str">
        <f>""</f>
        <v/>
      </c>
      <c r="BH587" s="5" t="str">
        <f>"45,00"</f>
        <v>45,00</v>
      </c>
      <c r="BI587" s="5" t="str">
        <f>"2019"</f>
        <v>2019</v>
      </c>
      <c r="BJ587" s="5" t="str">
        <f t="shared" ref="BJ587:BJ608" si="814">"нет"</f>
        <v>нет</v>
      </c>
      <c r="BK587" s="5" t="str">
        <f>""</f>
        <v/>
      </c>
      <c r="BL587" s="5" t="str">
        <f>""</f>
        <v/>
      </c>
      <c r="BM587" s="5" t="str">
        <f>""</f>
        <v/>
      </c>
      <c r="BN587" s="5" t="str">
        <f t="shared" ref="BN587:BN608" si="815">"нет"</f>
        <v>нет</v>
      </c>
      <c r="BO587" s="5" t="str">
        <f>""</f>
        <v/>
      </c>
      <c r="BP587" s="5" t="str">
        <f>""</f>
        <v/>
      </c>
      <c r="BQ587" s="5" t="str">
        <f>""</f>
        <v/>
      </c>
      <c r="BR587" s="5" t="str">
        <f>""</f>
        <v/>
      </c>
      <c r="BS587" s="5" t="str">
        <f>"45,00"</f>
        <v>45,00</v>
      </c>
      <c r="BT587" s="5" t="str">
        <f>"2019"</f>
        <v>2019</v>
      </c>
      <c r="BU587" s="5" t="str">
        <f t="shared" si="796"/>
        <v>нет</v>
      </c>
      <c r="BV587" s="5" t="str">
        <f t="shared" si="808"/>
        <v>x</v>
      </c>
      <c r="BW587" s="5" t="str">
        <f t="shared" si="808"/>
        <v>x</v>
      </c>
      <c r="BX587" s="5" t="str">
        <f t="shared" si="808"/>
        <v>x</v>
      </c>
      <c r="BY587" s="5" t="str">
        <f t="shared" si="805"/>
        <v>нет</v>
      </c>
      <c r="BZ587" s="5" t="str">
        <f t="shared" si="807"/>
        <v>x</v>
      </c>
      <c r="CA587" s="5" t="str">
        <f t="shared" si="807"/>
        <v>x</v>
      </c>
      <c r="CB587" s="5" t="str">
        <f t="shared" si="807"/>
        <v>x</v>
      </c>
      <c r="CC587" s="5" t="str">
        <f>""</f>
        <v/>
      </c>
      <c r="CD587" s="5" t="str">
        <f>"45,00"</f>
        <v>45,00</v>
      </c>
      <c r="CE587" s="5" t="str">
        <f>"2019"</f>
        <v>2019</v>
      </c>
      <c r="CF587" s="5" t="str">
        <f>""</f>
        <v/>
      </c>
      <c r="CG587" s="5" t="str">
        <f>"45,00"</f>
        <v>45,00</v>
      </c>
      <c r="CH587" s="5" t="str">
        <f>"2019"</f>
        <v>2019</v>
      </c>
      <c r="CI587" s="5" t="str">
        <f>"45,00"</f>
        <v>45,00</v>
      </c>
      <c r="CJ587" s="5" t="str">
        <f>"2019"</f>
        <v>2019</v>
      </c>
    </row>
    <row r="588" spans="1:88" ht="11.25" customHeight="1">
      <c r="A588" s="3" t="str">
        <f>"1.575"</f>
        <v>1.575</v>
      </c>
      <c r="B588" s="4" t="str">
        <f>"пгт. Вохтога, ул. Строителей, д.11"</f>
        <v>пгт. Вохтога, ул. Строителей, д.11</v>
      </c>
      <c r="C588" s="7" t="str">
        <f>"1974"</f>
        <v>1974</v>
      </c>
      <c r="D588" s="5" t="str">
        <f>""</f>
        <v/>
      </c>
      <c r="E588" s="5" t="str">
        <f>"42,00"</f>
        <v>42,00</v>
      </c>
      <c r="F588" s="5" t="str">
        <f>"2019"</f>
        <v>2019</v>
      </c>
      <c r="G588" s="5" t="str">
        <f t="shared" si="809"/>
        <v>нет</v>
      </c>
      <c r="H588" s="5" t="str">
        <f>""</f>
        <v/>
      </c>
      <c r="I588" s="5" t="str">
        <f>""</f>
        <v/>
      </c>
      <c r="J588" s="5" t="str">
        <f>""</f>
        <v/>
      </c>
      <c r="K588" s="5" t="str">
        <f t="shared" si="810"/>
        <v>нет</v>
      </c>
      <c r="L588" s="5" t="str">
        <f>""</f>
        <v/>
      </c>
      <c r="M588" s="5" t="str">
        <f>""</f>
        <v/>
      </c>
      <c r="N588" s="5" t="str">
        <f>""</f>
        <v/>
      </c>
      <c r="O588" s="8" t="str">
        <f>""</f>
        <v/>
      </c>
      <c r="P588" s="5" t="str">
        <f>"42,00"</f>
        <v>42,00</v>
      </c>
      <c r="Q588" s="5" t="str">
        <f>"2019"</f>
        <v>2019</v>
      </c>
      <c r="R588" s="5" t="str">
        <f t="shared" si="812"/>
        <v>нет</v>
      </c>
      <c r="S588" s="5" t="str">
        <f>""</f>
        <v/>
      </c>
      <c r="T588" s="5" t="str">
        <f>""</f>
        <v/>
      </c>
      <c r="U588" s="5" t="str">
        <f>""</f>
        <v/>
      </c>
      <c r="V588" s="5" t="str">
        <f t="shared" si="813"/>
        <v>нет</v>
      </c>
      <c r="W588" s="5" t="str">
        <f>""</f>
        <v/>
      </c>
      <c r="X588" s="5" t="str">
        <f>""</f>
        <v/>
      </c>
      <c r="Y588" s="9" t="str">
        <f>""</f>
        <v/>
      </c>
      <c r="Z588" s="5" t="str">
        <f>""</f>
        <v/>
      </c>
      <c r="AA588" s="5" t="str">
        <f>""</f>
        <v/>
      </c>
      <c r="AB588" s="5" t="str">
        <f>""</f>
        <v/>
      </c>
      <c r="AC588" s="5" t="str">
        <f>""</f>
        <v/>
      </c>
      <c r="AD588" s="5" t="str">
        <f>""</f>
        <v/>
      </c>
      <c r="AE588" s="5" t="str">
        <f>""</f>
        <v/>
      </c>
      <c r="AF588" s="5" t="str">
        <f>""</f>
        <v/>
      </c>
      <c r="AG588" s="5" t="str">
        <f>""</f>
        <v/>
      </c>
      <c r="AH588" s="5" t="str">
        <f>""</f>
        <v/>
      </c>
      <c r="AI588" s="5" t="str">
        <f>""</f>
        <v/>
      </c>
      <c r="AJ588" s="5" t="str">
        <f>""</f>
        <v/>
      </c>
      <c r="AK588" s="8" t="str">
        <f>""</f>
        <v/>
      </c>
      <c r="AL588" s="5" t="str">
        <f>"42,00"</f>
        <v>42,00</v>
      </c>
      <c r="AM588" s="5" t="str">
        <f>"2019"</f>
        <v>2019</v>
      </c>
      <c r="AN588" s="5" t="str">
        <f t="shared" si="802"/>
        <v>нет</v>
      </c>
      <c r="AO588" s="5" t="str">
        <f>""</f>
        <v/>
      </c>
      <c r="AP588" s="5" t="str">
        <f>""</f>
        <v/>
      </c>
      <c r="AQ588" s="5" t="str">
        <f>""</f>
        <v/>
      </c>
      <c r="AR588" s="5" t="str">
        <f t="shared" si="801"/>
        <v>нет</v>
      </c>
      <c r="AS588" s="5" t="str">
        <f>""</f>
        <v/>
      </c>
      <c r="AT588" s="5" t="str">
        <f>""</f>
        <v/>
      </c>
      <c r="AU588" s="5" t="str">
        <f>""</f>
        <v/>
      </c>
      <c r="AV588" s="5" t="str">
        <f t="shared" ref="AV588:BF597" si="816">"х"</f>
        <v>х</v>
      </c>
      <c r="AW588" s="5" t="str">
        <f t="shared" si="816"/>
        <v>х</v>
      </c>
      <c r="AX588" s="5" t="str">
        <f t="shared" si="816"/>
        <v>х</v>
      </c>
      <c r="AY588" s="5" t="str">
        <f t="shared" si="816"/>
        <v>х</v>
      </c>
      <c r="AZ588" s="5" t="str">
        <f t="shared" si="816"/>
        <v>х</v>
      </c>
      <c r="BA588" s="5" t="str">
        <f t="shared" si="816"/>
        <v>х</v>
      </c>
      <c r="BB588" s="5" t="str">
        <f t="shared" si="816"/>
        <v>х</v>
      </c>
      <c r="BC588" s="5" t="str">
        <f t="shared" si="816"/>
        <v>х</v>
      </c>
      <c r="BD588" s="5" t="str">
        <f t="shared" si="816"/>
        <v>х</v>
      </c>
      <c r="BE588" s="5" t="str">
        <f t="shared" si="816"/>
        <v>х</v>
      </c>
      <c r="BF588" s="5" t="str">
        <f t="shared" si="816"/>
        <v>х</v>
      </c>
      <c r="BG588" s="5" t="str">
        <f>""</f>
        <v/>
      </c>
      <c r="BH588" s="5" t="str">
        <f>"42,00"</f>
        <v>42,00</v>
      </c>
      <c r="BI588" s="5" t="str">
        <f>"2019"</f>
        <v>2019</v>
      </c>
      <c r="BJ588" s="5" t="str">
        <f t="shared" si="814"/>
        <v>нет</v>
      </c>
      <c r="BK588" s="5" t="str">
        <f>""</f>
        <v/>
      </c>
      <c r="BL588" s="5" t="str">
        <f>""</f>
        <v/>
      </c>
      <c r="BM588" s="5" t="str">
        <f>""</f>
        <v/>
      </c>
      <c r="BN588" s="5" t="str">
        <f t="shared" si="815"/>
        <v>нет</v>
      </c>
      <c r="BO588" s="5" t="str">
        <f>""</f>
        <v/>
      </c>
      <c r="BP588" s="5" t="str">
        <f>""</f>
        <v/>
      </c>
      <c r="BQ588" s="5" t="str">
        <f>""</f>
        <v/>
      </c>
      <c r="BR588" s="5" t="str">
        <f>""</f>
        <v/>
      </c>
      <c r="BS588" s="5" t="str">
        <f>"42,00"</f>
        <v>42,00</v>
      </c>
      <c r="BT588" s="5" t="str">
        <f>"2019"</f>
        <v>2019</v>
      </c>
      <c r="BU588" s="5" t="str">
        <f t="shared" si="796"/>
        <v>нет</v>
      </c>
      <c r="BV588" s="5" t="str">
        <f t="shared" si="808"/>
        <v>x</v>
      </c>
      <c r="BW588" s="5" t="str">
        <f t="shared" si="808"/>
        <v>x</v>
      </c>
      <c r="BX588" s="5" t="str">
        <f t="shared" si="808"/>
        <v>x</v>
      </c>
      <c r="BY588" s="5" t="str">
        <f t="shared" si="805"/>
        <v>нет</v>
      </c>
      <c r="BZ588" s="5" t="str">
        <f t="shared" si="807"/>
        <v>x</v>
      </c>
      <c r="CA588" s="5" t="str">
        <f t="shared" si="807"/>
        <v>x</v>
      </c>
      <c r="CB588" s="5" t="str">
        <f t="shared" si="807"/>
        <v>x</v>
      </c>
      <c r="CC588" s="5" t="str">
        <f>""</f>
        <v/>
      </c>
      <c r="CD588" s="5" t="str">
        <f>"42,00"</f>
        <v>42,00</v>
      </c>
      <c r="CE588" s="5" t="str">
        <f>"2019"</f>
        <v>2019</v>
      </c>
      <c r="CF588" s="5" t="str">
        <f>""</f>
        <v/>
      </c>
      <c r="CG588" s="5" t="str">
        <f>"42,00"</f>
        <v>42,00</v>
      </c>
      <c r="CH588" s="5" t="str">
        <f>"2019"</f>
        <v>2019</v>
      </c>
      <c r="CI588" s="5" t="str">
        <f>"42,00"</f>
        <v>42,00</v>
      </c>
      <c r="CJ588" s="5" t="str">
        <f>"2019"</f>
        <v>2019</v>
      </c>
    </row>
    <row r="589" spans="1:88" ht="11.25" customHeight="1">
      <c r="A589" s="3" t="str">
        <f>"1.576"</f>
        <v>1.576</v>
      </c>
      <c r="B589" s="4" t="str">
        <f>"пгт. Вохтога, ул. Строителей, д.12"</f>
        <v>пгт. Вохтога, ул. Строителей, д.12</v>
      </c>
      <c r="C589" s="7" t="str">
        <f>"1975"</f>
        <v>1975</v>
      </c>
      <c r="D589" s="5" t="str">
        <f>""</f>
        <v/>
      </c>
      <c r="E589" s="5" t="str">
        <f>"64,00"</f>
        <v>64,00</v>
      </c>
      <c r="F589" s="5" t="str">
        <f>"2020"</f>
        <v>2020</v>
      </c>
      <c r="G589" s="5" t="str">
        <f t="shared" si="809"/>
        <v>нет</v>
      </c>
      <c r="H589" s="5" t="str">
        <f>""</f>
        <v/>
      </c>
      <c r="I589" s="5" t="str">
        <f>""</f>
        <v/>
      </c>
      <c r="J589" s="5" t="str">
        <f>""</f>
        <v/>
      </c>
      <c r="K589" s="5" t="str">
        <f t="shared" si="810"/>
        <v>нет</v>
      </c>
      <c r="L589" s="5" t="str">
        <f>""</f>
        <v/>
      </c>
      <c r="M589" s="5" t="str">
        <f>""</f>
        <v/>
      </c>
      <c r="N589" s="5" t="str">
        <f>""</f>
        <v/>
      </c>
      <c r="O589" s="8" t="str">
        <f>""</f>
        <v/>
      </c>
      <c r="P589" s="5" t="str">
        <f>"64,00"</f>
        <v>64,00</v>
      </c>
      <c r="Q589" s="5" t="str">
        <f>"2020"</f>
        <v>2020</v>
      </c>
      <c r="R589" s="5" t="str">
        <f t="shared" si="812"/>
        <v>нет</v>
      </c>
      <c r="S589" s="5" t="str">
        <f>""</f>
        <v/>
      </c>
      <c r="T589" s="5" t="str">
        <f>""</f>
        <v/>
      </c>
      <c r="U589" s="5" t="str">
        <f>""</f>
        <v/>
      </c>
      <c r="V589" s="5" t="str">
        <f t="shared" si="813"/>
        <v>нет</v>
      </c>
      <c r="W589" s="5" t="str">
        <f>""</f>
        <v/>
      </c>
      <c r="X589" s="5" t="str">
        <f>""</f>
        <v/>
      </c>
      <c r="Y589" s="9" t="str">
        <f>""</f>
        <v/>
      </c>
      <c r="Z589" s="5" t="str">
        <f>""</f>
        <v/>
      </c>
      <c r="AA589" s="5" t="str">
        <f>""</f>
        <v/>
      </c>
      <c r="AB589" s="5" t="str">
        <f>""</f>
        <v/>
      </c>
      <c r="AC589" s="5" t="str">
        <f>""</f>
        <v/>
      </c>
      <c r="AD589" s="5" t="str">
        <f>""</f>
        <v/>
      </c>
      <c r="AE589" s="5" t="str">
        <f>""</f>
        <v/>
      </c>
      <c r="AF589" s="5" t="str">
        <f>""</f>
        <v/>
      </c>
      <c r="AG589" s="5" t="str">
        <f>""</f>
        <v/>
      </c>
      <c r="AH589" s="5" t="str">
        <f>""</f>
        <v/>
      </c>
      <c r="AI589" s="5" t="str">
        <f>""</f>
        <v/>
      </c>
      <c r="AJ589" s="5" t="str">
        <f>""</f>
        <v/>
      </c>
      <c r="AK589" s="8" t="str">
        <f>""</f>
        <v/>
      </c>
      <c r="AL589" s="5" t="str">
        <f>"64,00"</f>
        <v>64,00</v>
      </c>
      <c r="AM589" s="5" t="str">
        <f>"2020"</f>
        <v>2020</v>
      </c>
      <c r="AN589" s="5" t="str">
        <f t="shared" si="802"/>
        <v>нет</v>
      </c>
      <c r="AO589" s="5" t="str">
        <f>""</f>
        <v/>
      </c>
      <c r="AP589" s="5" t="str">
        <f>""</f>
        <v/>
      </c>
      <c r="AQ589" s="5" t="str">
        <f>""</f>
        <v/>
      </c>
      <c r="AR589" s="5" t="str">
        <f t="shared" si="801"/>
        <v>нет</v>
      </c>
      <c r="AS589" s="5" t="str">
        <f>""</f>
        <v/>
      </c>
      <c r="AT589" s="5" t="str">
        <f>""</f>
        <v/>
      </c>
      <c r="AU589" s="5" t="str">
        <f>""</f>
        <v/>
      </c>
      <c r="AV589" s="5" t="str">
        <f t="shared" si="816"/>
        <v>х</v>
      </c>
      <c r="AW589" s="5" t="str">
        <f t="shared" si="816"/>
        <v>х</v>
      </c>
      <c r="AX589" s="5" t="str">
        <f t="shared" si="816"/>
        <v>х</v>
      </c>
      <c r="AY589" s="5" t="str">
        <f t="shared" si="816"/>
        <v>х</v>
      </c>
      <c r="AZ589" s="5" t="str">
        <f t="shared" si="816"/>
        <v>х</v>
      </c>
      <c r="BA589" s="5" t="str">
        <f t="shared" si="816"/>
        <v>х</v>
      </c>
      <c r="BB589" s="5" t="str">
        <f t="shared" si="816"/>
        <v>х</v>
      </c>
      <c r="BC589" s="5" t="str">
        <f t="shared" si="816"/>
        <v>х</v>
      </c>
      <c r="BD589" s="5" t="str">
        <f t="shared" si="816"/>
        <v>х</v>
      </c>
      <c r="BE589" s="5" t="str">
        <f t="shared" si="816"/>
        <v>х</v>
      </c>
      <c r="BF589" s="5" t="str">
        <f t="shared" si="816"/>
        <v>х</v>
      </c>
      <c r="BG589" s="5" t="str">
        <f>""</f>
        <v/>
      </c>
      <c r="BH589" s="5" t="str">
        <f>"64,00"</f>
        <v>64,00</v>
      </c>
      <c r="BI589" s="5" t="str">
        <f>"2020"</f>
        <v>2020</v>
      </c>
      <c r="BJ589" s="5" t="str">
        <f t="shared" si="814"/>
        <v>нет</v>
      </c>
      <c r="BK589" s="5" t="str">
        <f>""</f>
        <v/>
      </c>
      <c r="BL589" s="5" t="str">
        <f>""</f>
        <v/>
      </c>
      <c r="BM589" s="5" t="str">
        <f>""</f>
        <v/>
      </c>
      <c r="BN589" s="5" t="str">
        <f t="shared" si="815"/>
        <v>нет</v>
      </c>
      <c r="BO589" s="5" t="str">
        <f>""</f>
        <v/>
      </c>
      <c r="BP589" s="5" t="str">
        <f>""</f>
        <v/>
      </c>
      <c r="BQ589" s="5" t="str">
        <f>""</f>
        <v/>
      </c>
      <c r="BR589" s="5" t="str">
        <f>""</f>
        <v/>
      </c>
      <c r="BS589" s="5" t="str">
        <f>"64,00"</f>
        <v>64,00</v>
      </c>
      <c r="BT589" s="5" t="str">
        <f>"2020"</f>
        <v>2020</v>
      </c>
      <c r="BU589" s="5" t="str">
        <f t="shared" si="796"/>
        <v>нет</v>
      </c>
      <c r="BV589" s="5" t="str">
        <f t="shared" si="808"/>
        <v>x</v>
      </c>
      <c r="BW589" s="5" t="str">
        <f t="shared" si="808"/>
        <v>x</v>
      </c>
      <c r="BX589" s="5" t="str">
        <f t="shared" si="808"/>
        <v>x</v>
      </c>
      <c r="BY589" s="5" t="str">
        <f t="shared" si="805"/>
        <v>нет</v>
      </c>
      <c r="BZ589" s="5" t="str">
        <f t="shared" si="807"/>
        <v>x</v>
      </c>
      <c r="CA589" s="5" t="str">
        <f t="shared" si="807"/>
        <v>x</v>
      </c>
      <c r="CB589" s="5" t="str">
        <f t="shared" si="807"/>
        <v>x</v>
      </c>
      <c r="CC589" s="5" t="str">
        <f>""</f>
        <v/>
      </c>
      <c r="CD589" s="5" t="str">
        <f>"64,00"</f>
        <v>64,00</v>
      </c>
      <c r="CE589" s="5" t="str">
        <f>"2020"</f>
        <v>2020</v>
      </c>
      <c r="CF589" s="5" t="str">
        <f>""</f>
        <v/>
      </c>
      <c r="CG589" s="5" t="str">
        <f>"64,00"</f>
        <v>64,00</v>
      </c>
      <c r="CH589" s="5" t="str">
        <f>"2020"</f>
        <v>2020</v>
      </c>
      <c r="CI589" s="5" t="str">
        <f>"64,00"</f>
        <v>64,00</v>
      </c>
      <c r="CJ589" s="5" t="str">
        <f>"2020"</f>
        <v>2020</v>
      </c>
    </row>
    <row r="590" spans="1:88" ht="11.25" customHeight="1">
      <c r="A590" s="3" t="str">
        <f>"1.577"</f>
        <v>1.577</v>
      </c>
      <c r="B590" s="4" t="str">
        <f>"пгт. Вохтога, ул. Строителей, д.14"</f>
        <v>пгт. Вохтога, ул. Строителей, д.14</v>
      </c>
      <c r="C590" s="7" t="str">
        <f>"1974"</f>
        <v>1974</v>
      </c>
      <c r="D590" s="5" t="str">
        <f>""</f>
        <v/>
      </c>
      <c r="E590" s="5" t="str">
        <f>"51,00"</f>
        <v>51,00</v>
      </c>
      <c r="F590" s="5" t="str">
        <f>"2020"</f>
        <v>2020</v>
      </c>
      <c r="G590" s="5" t="str">
        <f t="shared" si="809"/>
        <v>нет</v>
      </c>
      <c r="H590" s="5" t="str">
        <f>""</f>
        <v/>
      </c>
      <c r="I590" s="5" t="str">
        <f>""</f>
        <v/>
      </c>
      <c r="J590" s="5" t="str">
        <f>""</f>
        <v/>
      </c>
      <c r="K590" s="5" t="str">
        <f t="shared" si="810"/>
        <v>нет</v>
      </c>
      <c r="L590" s="5" t="str">
        <f>""</f>
        <v/>
      </c>
      <c r="M590" s="5" t="str">
        <f>""</f>
        <v/>
      </c>
      <c r="N590" s="5" t="str">
        <f>""</f>
        <v/>
      </c>
      <c r="O590" s="8" t="str">
        <f>""</f>
        <v/>
      </c>
      <c r="P590" s="5" t="str">
        <f>"51,00"</f>
        <v>51,00</v>
      </c>
      <c r="Q590" s="5" t="str">
        <f>"2019"</f>
        <v>2019</v>
      </c>
      <c r="R590" s="5" t="str">
        <f t="shared" si="812"/>
        <v>нет</v>
      </c>
      <c r="S590" s="5" t="str">
        <f>""</f>
        <v/>
      </c>
      <c r="T590" s="5" t="str">
        <f>""</f>
        <v/>
      </c>
      <c r="U590" s="5" t="str">
        <f>""</f>
        <v/>
      </c>
      <c r="V590" s="5" t="str">
        <f t="shared" si="813"/>
        <v>нет</v>
      </c>
      <c r="W590" s="5" t="str">
        <f>""</f>
        <v/>
      </c>
      <c r="X590" s="5" t="str">
        <f>""</f>
        <v/>
      </c>
      <c r="Y590" s="9" t="str">
        <f>""</f>
        <v/>
      </c>
      <c r="Z590" s="5" t="str">
        <f>""</f>
        <v/>
      </c>
      <c r="AA590" s="5" t="str">
        <f>""</f>
        <v/>
      </c>
      <c r="AB590" s="5" t="str">
        <f>""</f>
        <v/>
      </c>
      <c r="AC590" s="5" t="str">
        <f>""</f>
        <v/>
      </c>
      <c r="AD590" s="5" t="str">
        <f>""</f>
        <v/>
      </c>
      <c r="AE590" s="5" t="str">
        <f>""</f>
        <v/>
      </c>
      <c r="AF590" s="5" t="str">
        <f>""</f>
        <v/>
      </c>
      <c r="AG590" s="5" t="str">
        <f>""</f>
        <v/>
      </c>
      <c r="AH590" s="5" t="str">
        <f>""</f>
        <v/>
      </c>
      <c r="AI590" s="5" t="str">
        <f>""</f>
        <v/>
      </c>
      <c r="AJ590" s="5" t="str">
        <f>""</f>
        <v/>
      </c>
      <c r="AK590" s="8" t="str">
        <f>""</f>
        <v/>
      </c>
      <c r="AL590" s="5" t="str">
        <f>"51,00"</f>
        <v>51,00</v>
      </c>
      <c r="AM590" s="5" t="str">
        <f>"2035"</f>
        <v>2035</v>
      </c>
      <c r="AN590" s="5" t="str">
        <f t="shared" si="802"/>
        <v>нет</v>
      </c>
      <c r="AO590" s="5" t="str">
        <f>""</f>
        <v/>
      </c>
      <c r="AP590" s="5" t="str">
        <f>""</f>
        <v/>
      </c>
      <c r="AQ590" s="5" t="str">
        <f>""</f>
        <v/>
      </c>
      <c r="AR590" s="5" t="str">
        <f t="shared" si="801"/>
        <v>нет</v>
      </c>
      <c r="AS590" s="5" t="str">
        <f>""</f>
        <v/>
      </c>
      <c r="AT590" s="5" t="str">
        <f>""</f>
        <v/>
      </c>
      <c r="AU590" s="5" t="str">
        <f>""</f>
        <v/>
      </c>
      <c r="AV590" s="5" t="str">
        <f t="shared" si="816"/>
        <v>х</v>
      </c>
      <c r="AW590" s="5" t="str">
        <f t="shared" si="816"/>
        <v>х</v>
      </c>
      <c r="AX590" s="5" t="str">
        <f t="shared" si="816"/>
        <v>х</v>
      </c>
      <c r="AY590" s="5" t="str">
        <f t="shared" si="816"/>
        <v>х</v>
      </c>
      <c r="AZ590" s="5" t="str">
        <f t="shared" si="816"/>
        <v>х</v>
      </c>
      <c r="BA590" s="5" t="str">
        <f t="shared" si="816"/>
        <v>х</v>
      </c>
      <c r="BB590" s="5" t="str">
        <f t="shared" si="816"/>
        <v>х</v>
      </c>
      <c r="BC590" s="5" t="str">
        <f t="shared" si="816"/>
        <v>х</v>
      </c>
      <c r="BD590" s="5" t="str">
        <f t="shared" si="816"/>
        <v>х</v>
      </c>
      <c r="BE590" s="5" t="str">
        <f t="shared" si="816"/>
        <v>х</v>
      </c>
      <c r="BF590" s="5" t="str">
        <f t="shared" si="816"/>
        <v>х</v>
      </c>
      <c r="BG590" s="5" t="str">
        <f>""</f>
        <v/>
      </c>
      <c r="BH590" s="5" t="str">
        <f>"51,00"</f>
        <v>51,00</v>
      </c>
      <c r="BI590" s="5" t="str">
        <f>"2021"</f>
        <v>2021</v>
      </c>
      <c r="BJ590" s="5" t="str">
        <f t="shared" si="814"/>
        <v>нет</v>
      </c>
      <c r="BK590" s="5" t="str">
        <f>""</f>
        <v/>
      </c>
      <c r="BL590" s="5" t="str">
        <f>""</f>
        <v/>
      </c>
      <c r="BM590" s="5" t="str">
        <f>""</f>
        <v/>
      </c>
      <c r="BN590" s="5" t="str">
        <f t="shared" si="815"/>
        <v>нет</v>
      </c>
      <c r="BO590" s="5" t="str">
        <f>""</f>
        <v/>
      </c>
      <c r="BP590" s="5" t="str">
        <f>""</f>
        <v/>
      </c>
      <c r="BQ590" s="5" t="str">
        <f>""</f>
        <v/>
      </c>
      <c r="BR590" s="5" t="str">
        <f>""</f>
        <v/>
      </c>
      <c r="BS590" s="5" t="str">
        <f>"51,00"</f>
        <v>51,00</v>
      </c>
      <c r="BT590" s="5" t="str">
        <f>"2029"</f>
        <v>2029</v>
      </c>
      <c r="BU590" s="5" t="str">
        <f t="shared" si="796"/>
        <v>нет</v>
      </c>
      <c r="BV590" s="5" t="str">
        <f t="shared" si="808"/>
        <v>x</v>
      </c>
      <c r="BW590" s="5" t="str">
        <f t="shared" si="808"/>
        <v>x</v>
      </c>
      <c r="BX590" s="5" t="str">
        <f t="shared" si="808"/>
        <v>x</v>
      </c>
      <c r="BY590" s="5" t="str">
        <f t="shared" si="805"/>
        <v>нет</v>
      </c>
      <c r="BZ590" s="5" t="str">
        <f t="shared" si="807"/>
        <v>x</v>
      </c>
      <c r="CA590" s="5" t="str">
        <f t="shared" si="807"/>
        <v>x</v>
      </c>
      <c r="CB590" s="5" t="str">
        <f t="shared" si="807"/>
        <v>x</v>
      </c>
      <c r="CC590" s="5" t="str">
        <f>""</f>
        <v/>
      </c>
      <c r="CD590" s="5" t="str">
        <f>"51,00"</f>
        <v>51,00</v>
      </c>
      <c r="CE590" s="5" t="str">
        <f>"2021"</f>
        <v>2021</v>
      </c>
      <c r="CF590" s="5" t="str">
        <f>""</f>
        <v/>
      </c>
      <c r="CG590" s="5" t="str">
        <f>"51,00"</f>
        <v>51,00</v>
      </c>
      <c r="CH590" s="5" t="str">
        <f>"2021"</f>
        <v>2021</v>
      </c>
      <c r="CI590" s="5" t="str">
        <f>"51,00"</f>
        <v>51,00</v>
      </c>
      <c r="CJ590" s="5" t="str">
        <f>"2021"</f>
        <v>2021</v>
      </c>
    </row>
    <row r="591" spans="1:88" ht="11.25" customHeight="1">
      <c r="A591" s="3" t="str">
        <f>"1.578"</f>
        <v>1.578</v>
      </c>
      <c r="B591" s="4" t="str">
        <f>"пгт. Вохтога, ул. Строителей, д.15"</f>
        <v>пгт. Вохтога, ул. Строителей, д.15</v>
      </c>
      <c r="C591" s="7" t="str">
        <f>"1975"</f>
        <v>1975</v>
      </c>
      <c r="D591" s="5" t="str">
        <f>""</f>
        <v/>
      </c>
      <c r="E591" s="5" t="str">
        <f>"42,00"</f>
        <v>42,00</v>
      </c>
      <c r="F591" s="5" t="str">
        <f>"2020"</f>
        <v>2020</v>
      </c>
      <c r="G591" s="5" t="str">
        <f t="shared" si="809"/>
        <v>нет</v>
      </c>
      <c r="H591" s="5" t="str">
        <f>""</f>
        <v/>
      </c>
      <c r="I591" s="5" t="str">
        <f>""</f>
        <v/>
      </c>
      <c r="J591" s="5" t="str">
        <f>""</f>
        <v/>
      </c>
      <c r="K591" s="5" t="str">
        <f t="shared" si="810"/>
        <v>нет</v>
      </c>
      <c r="L591" s="5" t="str">
        <f>""</f>
        <v/>
      </c>
      <c r="M591" s="5" t="str">
        <f>""</f>
        <v/>
      </c>
      <c r="N591" s="5" t="str">
        <f>""</f>
        <v/>
      </c>
      <c r="O591" s="8" t="str">
        <f>""</f>
        <v/>
      </c>
      <c r="P591" s="5" t="str">
        <f>"42,00"</f>
        <v>42,00</v>
      </c>
      <c r="Q591" s="5" t="str">
        <f>"2020"</f>
        <v>2020</v>
      </c>
      <c r="R591" s="5" t="str">
        <f t="shared" si="812"/>
        <v>нет</v>
      </c>
      <c r="S591" s="5" t="str">
        <f>""</f>
        <v/>
      </c>
      <c r="T591" s="5" t="str">
        <f>""</f>
        <v/>
      </c>
      <c r="U591" s="5" t="str">
        <f>""</f>
        <v/>
      </c>
      <c r="V591" s="5" t="str">
        <f t="shared" si="813"/>
        <v>нет</v>
      </c>
      <c r="W591" s="5" t="str">
        <f>""</f>
        <v/>
      </c>
      <c r="X591" s="5" t="str">
        <f>""</f>
        <v/>
      </c>
      <c r="Y591" s="9" t="str">
        <f>""</f>
        <v/>
      </c>
      <c r="Z591" s="5" t="str">
        <f>""</f>
        <v/>
      </c>
      <c r="AA591" s="5" t="str">
        <f>""</f>
        <v/>
      </c>
      <c r="AB591" s="5" t="str">
        <f>""</f>
        <v/>
      </c>
      <c r="AC591" s="5" t="str">
        <f>""</f>
        <v/>
      </c>
      <c r="AD591" s="5" t="str">
        <f>""</f>
        <v/>
      </c>
      <c r="AE591" s="5" t="str">
        <f>""</f>
        <v/>
      </c>
      <c r="AF591" s="5" t="str">
        <f>""</f>
        <v/>
      </c>
      <c r="AG591" s="5" t="str">
        <f>""</f>
        <v/>
      </c>
      <c r="AH591" s="5" t="str">
        <f>""</f>
        <v/>
      </c>
      <c r="AI591" s="5" t="str">
        <f>""</f>
        <v/>
      </c>
      <c r="AJ591" s="5" t="str">
        <f>""</f>
        <v/>
      </c>
      <c r="AK591" s="8" t="str">
        <f>""</f>
        <v/>
      </c>
      <c r="AL591" s="5" t="str">
        <f>"42,00"</f>
        <v>42,00</v>
      </c>
      <c r="AM591" s="5" t="str">
        <f>"2020"</f>
        <v>2020</v>
      </c>
      <c r="AN591" s="5" t="str">
        <f t="shared" si="802"/>
        <v>нет</v>
      </c>
      <c r="AO591" s="5" t="str">
        <f>""</f>
        <v/>
      </c>
      <c r="AP591" s="5" t="str">
        <f>""</f>
        <v/>
      </c>
      <c r="AQ591" s="5" t="str">
        <f>""</f>
        <v/>
      </c>
      <c r="AR591" s="5" t="str">
        <f t="shared" si="801"/>
        <v>нет</v>
      </c>
      <c r="AS591" s="5" t="str">
        <f>""</f>
        <v/>
      </c>
      <c r="AT591" s="5" t="str">
        <f>""</f>
        <v/>
      </c>
      <c r="AU591" s="5" t="str">
        <f>""</f>
        <v/>
      </c>
      <c r="AV591" s="5" t="str">
        <f t="shared" si="816"/>
        <v>х</v>
      </c>
      <c r="AW591" s="5" t="str">
        <f t="shared" si="816"/>
        <v>х</v>
      </c>
      <c r="AX591" s="5" t="str">
        <f t="shared" si="816"/>
        <v>х</v>
      </c>
      <c r="AY591" s="5" t="str">
        <f t="shared" si="816"/>
        <v>х</v>
      </c>
      <c r="AZ591" s="5" t="str">
        <f t="shared" si="816"/>
        <v>х</v>
      </c>
      <c r="BA591" s="5" t="str">
        <f t="shared" si="816"/>
        <v>х</v>
      </c>
      <c r="BB591" s="5" t="str">
        <f t="shared" si="816"/>
        <v>х</v>
      </c>
      <c r="BC591" s="5" t="str">
        <f t="shared" si="816"/>
        <v>х</v>
      </c>
      <c r="BD591" s="5" t="str">
        <f t="shared" si="816"/>
        <v>х</v>
      </c>
      <c r="BE591" s="5" t="str">
        <f t="shared" si="816"/>
        <v>х</v>
      </c>
      <c r="BF591" s="5" t="str">
        <f t="shared" si="816"/>
        <v>х</v>
      </c>
      <c r="BG591" s="5" t="str">
        <f>""</f>
        <v/>
      </c>
      <c r="BH591" s="5" t="str">
        <f>"42,00"</f>
        <v>42,00</v>
      </c>
      <c r="BI591" s="5" t="str">
        <f>"2020"</f>
        <v>2020</v>
      </c>
      <c r="BJ591" s="5" t="str">
        <f t="shared" si="814"/>
        <v>нет</v>
      </c>
      <c r="BK591" s="5" t="str">
        <f>""</f>
        <v/>
      </c>
      <c r="BL591" s="5" t="str">
        <f>""</f>
        <v/>
      </c>
      <c r="BM591" s="5" t="str">
        <f>""</f>
        <v/>
      </c>
      <c r="BN591" s="5" t="str">
        <f t="shared" si="815"/>
        <v>нет</v>
      </c>
      <c r="BO591" s="5" t="str">
        <f>""</f>
        <v/>
      </c>
      <c r="BP591" s="5" t="str">
        <f>""</f>
        <v/>
      </c>
      <c r="BQ591" s="5" t="str">
        <f>""</f>
        <v/>
      </c>
      <c r="BR591" s="5" t="str">
        <f>""</f>
        <v/>
      </c>
      <c r="BS591" s="5" t="str">
        <f>"42,00"</f>
        <v>42,00</v>
      </c>
      <c r="BT591" s="5" t="str">
        <f>"2020"</f>
        <v>2020</v>
      </c>
      <c r="BU591" s="5" t="str">
        <f t="shared" si="796"/>
        <v>нет</v>
      </c>
      <c r="BV591" s="5" t="str">
        <f t="shared" si="808"/>
        <v>x</v>
      </c>
      <c r="BW591" s="5" t="str">
        <f t="shared" si="808"/>
        <v>x</v>
      </c>
      <c r="BX591" s="5" t="str">
        <f t="shared" si="808"/>
        <v>x</v>
      </c>
      <c r="BY591" s="5" t="str">
        <f t="shared" si="805"/>
        <v>нет</v>
      </c>
      <c r="BZ591" s="5" t="str">
        <f t="shared" si="807"/>
        <v>x</v>
      </c>
      <c r="CA591" s="5" t="str">
        <f t="shared" si="807"/>
        <v>x</v>
      </c>
      <c r="CB591" s="5" t="str">
        <f t="shared" si="807"/>
        <v>x</v>
      </c>
      <c r="CC591" s="5" t="str">
        <f>""</f>
        <v/>
      </c>
      <c r="CD591" s="5" t="str">
        <f>"42,00"</f>
        <v>42,00</v>
      </c>
      <c r="CE591" s="5" t="str">
        <f>"2023"</f>
        <v>2023</v>
      </c>
      <c r="CF591" s="5" t="str">
        <f>""</f>
        <v/>
      </c>
      <c r="CG591" s="5" t="str">
        <f>"42,00"</f>
        <v>42,00</v>
      </c>
      <c r="CH591" s="5" t="str">
        <f>"2023"</f>
        <v>2023</v>
      </c>
      <c r="CI591" s="5" t="str">
        <f>"42,00"</f>
        <v>42,00</v>
      </c>
      <c r="CJ591" s="5" t="str">
        <f>"2023"</f>
        <v>2023</v>
      </c>
    </row>
    <row r="592" spans="1:88" ht="11.25" customHeight="1">
      <c r="A592" s="3" t="str">
        <f>"1.579"</f>
        <v>1.579</v>
      </c>
      <c r="B592" s="4" t="str">
        <f>"пгт. Вохтога, ул. Строителей, д.15а"</f>
        <v>пгт. Вохтога, ул. Строителей, д.15а</v>
      </c>
      <c r="C592" s="7" t="str">
        <f>"1974"</f>
        <v>1974</v>
      </c>
      <c r="D592" s="5" t="str">
        <f>""</f>
        <v/>
      </c>
      <c r="E592" s="5" t="str">
        <f>"59,00"</f>
        <v>59,00</v>
      </c>
      <c r="F592" s="5" t="str">
        <f>"2021"</f>
        <v>2021</v>
      </c>
      <c r="G592" s="5" t="str">
        <f t="shared" si="809"/>
        <v>нет</v>
      </c>
      <c r="H592" s="5" t="str">
        <f>""</f>
        <v/>
      </c>
      <c r="I592" s="5" t="str">
        <f>""</f>
        <v/>
      </c>
      <c r="J592" s="5" t="str">
        <f>""</f>
        <v/>
      </c>
      <c r="K592" s="5" t="str">
        <f t="shared" si="810"/>
        <v>нет</v>
      </c>
      <c r="L592" s="5" t="str">
        <f>""</f>
        <v/>
      </c>
      <c r="M592" s="5" t="str">
        <f>""</f>
        <v/>
      </c>
      <c r="N592" s="5" t="str">
        <f>""</f>
        <v/>
      </c>
      <c r="O592" s="8" t="str">
        <f>""</f>
        <v/>
      </c>
      <c r="P592" s="5" t="str">
        <f>"59,00"</f>
        <v>59,00</v>
      </c>
      <c r="Q592" s="5" t="str">
        <f>"2019"</f>
        <v>2019</v>
      </c>
      <c r="R592" s="5" t="str">
        <f t="shared" si="812"/>
        <v>нет</v>
      </c>
      <c r="S592" s="5" t="str">
        <f>""</f>
        <v/>
      </c>
      <c r="T592" s="5" t="str">
        <f>""</f>
        <v/>
      </c>
      <c r="U592" s="5" t="str">
        <f>""</f>
        <v/>
      </c>
      <c r="V592" s="5" t="str">
        <f t="shared" si="813"/>
        <v>нет</v>
      </c>
      <c r="W592" s="5" t="str">
        <f>""</f>
        <v/>
      </c>
      <c r="X592" s="5" t="str">
        <f>""</f>
        <v/>
      </c>
      <c r="Y592" s="9" t="str">
        <f>""</f>
        <v/>
      </c>
      <c r="Z592" s="5" t="str">
        <f>""</f>
        <v/>
      </c>
      <c r="AA592" s="5" t="str">
        <f>""</f>
        <v/>
      </c>
      <c r="AB592" s="5" t="str">
        <f>""</f>
        <v/>
      </c>
      <c r="AC592" s="5" t="str">
        <f>""</f>
        <v/>
      </c>
      <c r="AD592" s="5" t="str">
        <f>""</f>
        <v/>
      </c>
      <c r="AE592" s="5" t="str">
        <f>""</f>
        <v/>
      </c>
      <c r="AF592" s="5" t="str">
        <f>""</f>
        <v/>
      </c>
      <c r="AG592" s="5" t="str">
        <f>""</f>
        <v/>
      </c>
      <c r="AH592" s="5" t="str">
        <f>""</f>
        <v/>
      </c>
      <c r="AI592" s="5" t="str">
        <f>""</f>
        <v/>
      </c>
      <c r="AJ592" s="5" t="str">
        <f>""</f>
        <v/>
      </c>
      <c r="AK592" s="8" t="str">
        <f>""</f>
        <v/>
      </c>
      <c r="AL592" s="5" t="str">
        <f>"59,00"</f>
        <v>59,00</v>
      </c>
      <c r="AM592" s="5" t="str">
        <f>"2035"</f>
        <v>2035</v>
      </c>
      <c r="AN592" s="5" t="str">
        <f t="shared" si="802"/>
        <v>нет</v>
      </c>
      <c r="AO592" s="5" t="str">
        <f>""</f>
        <v/>
      </c>
      <c r="AP592" s="5" t="str">
        <f>""</f>
        <v/>
      </c>
      <c r="AQ592" s="5" t="str">
        <f>""</f>
        <v/>
      </c>
      <c r="AR592" s="5" t="str">
        <f t="shared" si="801"/>
        <v>нет</v>
      </c>
      <c r="AS592" s="5" t="str">
        <f>""</f>
        <v/>
      </c>
      <c r="AT592" s="5" t="str">
        <f>""</f>
        <v/>
      </c>
      <c r="AU592" s="5" t="str">
        <f>""</f>
        <v/>
      </c>
      <c r="AV592" s="5" t="str">
        <f t="shared" si="816"/>
        <v>х</v>
      </c>
      <c r="AW592" s="5" t="str">
        <f t="shared" si="816"/>
        <v>х</v>
      </c>
      <c r="AX592" s="5" t="str">
        <f t="shared" si="816"/>
        <v>х</v>
      </c>
      <c r="AY592" s="5" t="str">
        <f t="shared" si="816"/>
        <v>х</v>
      </c>
      <c r="AZ592" s="5" t="str">
        <f t="shared" si="816"/>
        <v>х</v>
      </c>
      <c r="BA592" s="5" t="str">
        <f t="shared" si="816"/>
        <v>х</v>
      </c>
      <c r="BB592" s="5" t="str">
        <f t="shared" si="816"/>
        <v>х</v>
      </c>
      <c r="BC592" s="5" t="str">
        <f t="shared" si="816"/>
        <v>х</v>
      </c>
      <c r="BD592" s="5" t="str">
        <f t="shared" si="816"/>
        <v>х</v>
      </c>
      <c r="BE592" s="5" t="str">
        <f t="shared" si="816"/>
        <v>х</v>
      </c>
      <c r="BF592" s="5" t="str">
        <f t="shared" si="816"/>
        <v>х</v>
      </c>
      <c r="BG592" s="5" t="str">
        <f>""</f>
        <v/>
      </c>
      <c r="BH592" s="5" t="str">
        <f>"59,00"</f>
        <v>59,00</v>
      </c>
      <c r="BI592" s="5" t="str">
        <f>"2021"</f>
        <v>2021</v>
      </c>
      <c r="BJ592" s="5" t="str">
        <f t="shared" si="814"/>
        <v>нет</v>
      </c>
      <c r="BK592" s="5" t="str">
        <f>""</f>
        <v/>
      </c>
      <c r="BL592" s="5" t="str">
        <f>""</f>
        <v/>
      </c>
      <c r="BM592" s="5" t="str">
        <f>""</f>
        <v/>
      </c>
      <c r="BN592" s="5" t="str">
        <f t="shared" si="815"/>
        <v>нет</v>
      </c>
      <c r="BO592" s="5" t="str">
        <f>""</f>
        <v/>
      </c>
      <c r="BP592" s="5" t="str">
        <f>""</f>
        <v/>
      </c>
      <c r="BQ592" s="5" t="str">
        <f>""</f>
        <v/>
      </c>
      <c r="BR592" s="5" t="str">
        <f>""</f>
        <v/>
      </c>
      <c r="BS592" s="5" t="str">
        <f>"59,00"</f>
        <v>59,00</v>
      </c>
      <c r="BT592" s="5" t="str">
        <f>"2029"</f>
        <v>2029</v>
      </c>
      <c r="BU592" s="5" t="str">
        <f t="shared" si="796"/>
        <v>нет</v>
      </c>
      <c r="BV592" s="5" t="str">
        <f t="shared" si="808"/>
        <v>x</v>
      </c>
      <c r="BW592" s="5" t="str">
        <f t="shared" si="808"/>
        <v>x</v>
      </c>
      <c r="BX592" s="5" t="str">
        <f t="shared" si="808"/>
        <v>x</v>
      </c>
      <c r="BY592" s="5" t="str">
        <f t="shared" si="805"/>
        <v>нет</v>
      </c>
      <c r="BZ592" s="5" t="str">
        <f t="shared" si="807"/>
        <v>x</v>
      </c>
      <c r="CA592" s="5" t="str">
        <f t="shared" si="807"/>
        <v>x</v>
      </c>
      <c r="CB592" s="5" t="str">
        <f t="shared" si="807"/>
        <v>x</v>
      </c>
      <c r="CC592" s="5" t="str">
        <f>""</f>
        <v/>
      </c>
      <c r="CD592" s="5" t="str">
        <f>"59,00"</f>
        <v>59,00</v>
      </c>
      <c r="CE592" s="5" t="str">
        <f>"2021"</f>
        <v>2021</v>
      </c>
      <c r="CF592" s="5" t="str">
        <f>""</f>
        <v/>
      </c>
      <c r="CG592" s="5" t="str">
        <f>"59,00"</f>
        <v>59,00</v>
      </c>
      <c r="CH592" s="5" t="str">
        <f>"2021"</f>
        <v>2021</v>
      </c>
      <c r="CI592" s="5" t="str">
        <f>"59,00"</f>
        <v>59,00</v>
      </c>
      <c r="CJ592" s="5" t="str">
        <f>"2021"</f>
        <v>2021</v>
      </c>
    </row>
    <row r="593" spans="1:88" ht="11.25" customHeight="1">
      <c r="A593" s="3" t="str">
        <f>"1.580"</f>
        <v>1.580</v>
      </c>
      <c r="B593" s="4" t="str">
        <f>"пгт. Вохтога, ул. Строителей, д.18"</f>
        <v>пгт. Вохтога, ул. Строителей, д.18</v>
      </c>
      <c r="C593" s="7" t="str">
        <f>"1975"</f>
        <v>1975</v>
      </c>
      <c r="D593" s="5" t="str">
        <f>""</f>
        <v/>
      </c>
      <c r="E593" s="5" t="str">
        <f>"52,00"</f>
        <v>52,00</v>
      </c>
      <c r="F593" s="5" t="str">
        <f>"2020"</f>
        <v>2020</v>
      </c>
      <c r="G593" s="5" t="str">
        <f t="shared" si="809"/>
        <v>нет</v>
      </c>
      <c r="H593" s="5" t="str">
        <f>""</f>
        <v/>
      </c>
      <c r="I593" s="5" t="str">
        <f>""</f>
        <v/>
      </c>
      <c r="J593" s="5" t="str">
        <f>""</f>
        <v/>
      </c>
      <c r="K593" s="5" t="str">
        <f t="shared" si="810"/>
        <v>нет</v>
      </c>
      <c r="L593" s="5" t="str">
        <f>""</f>
        <v/>
      </c>
      <c r="M593" s="5" t="str">
        <f>""</f>
        <v/>
      </c>
      <c r="N593" s="5" t="str">
        <f>""</f>
        <v/>
      </c>
      <c r="O593" s="8" t="str">
        <f>""</f>
        <v/>
      </c>
      <c r="P593" s="5" t="str">
        <f>"52,00"</f>
        <v>52,00</v>
      </c>
      <c r="Q593" s="5" t="str">
        <f>"2020"</f>
        <v>2020</v>
      </c>
      <c r="R593" s="5" t="str">
        <f t="shared" si="812"/>
        <v>нет</v>
      </c>
      <c r="S593" s="5" t="str">
        <f>""</f>
        <v/>
      </c>
      <c r="T593" s="5" t="str">
        <f>""</f>
        <v/>
      </c>
      <c r="U593" s="5" t="str">
        <f>""</f>
        <v/>
      </c>
      <c r="V593" s="5" t="str">
        <f t="shared" si="813"/>
        <v>нет</v>
      </c>
      <c r="W593" s="5" t="str">
        <f>""</f>
        <v/>
      </c>
      <c r="X593" s="5" t="str">
        <f>""</f>
        <v/>
      </c>
      <c r="Y593" s="9" t="str">
        <f>""</f>
        <v/>
      </c>
      <c r="Z593" s="5" t="str">
        <f>""</f>
        <v/>
      </c>
      <c r="AA593" s="5" t="str">
        <f>""</f>
        <v/>
      </c>
      <c r="AB593" s="5" t="str">
        <f>""</f>
        <v/>
      </c>
      <c r="AC593" s="5" t="str">
        <f>""</f>
        <v/>
      </c>
      <c r="AD593" s="5" t="str">
        <f>""</f>
        <v/>
      </c>
      <c r="AE593" s="5" t="str">
        <f>""</f>
        <v/>
      </c>
      <c r="AF593" s="5" t="str">
        <f>""</f>
        <v/>
      </c>
      <c r="AG593" s="5" t="str">
        <f>""</f>
        <v/>
      </c>
      <c r="AH593" s="5" t="str">
        <f>""</f>
        <v/>
      </c>
      <c r="AI593" s="5" t="str">
        <f>""</f>
        <v/>
      </c>
      <c r="AJ593" s="5" t="str">
        <f>""</f>
        <v/>
      </c>
      <c r="AK593" s="8" t="str">
        <f>""</f>
        <v/>
      </c>
      <c r="AL593" s="5" t="str">
        <f>"52,00"</f>
        <v>52,00</v>
      </c>
      <c r="AM593" s="5" t="str">
        <f>"2020"</f>
        <v>2020</v>
      </c>
      <c r="AN593" s="5" t="str">
        <f t="shared" si="802"/>
        <v>нет</v>
      </c>
      <c r="AO593" s="5" t="str">
        <f>""</f>
        <v/>
      </c>
      <c r="AP593" s="5" t="str">
        <f>""</f>
        <v/>
      </c>
      <c r="AQ593" s="5" t="str">
        <f>""</f>
        <v/>
      </c>
      <c r="AR593" s="5" t="str">
        <f t="shared" si="801"/>
        <v>нет</v>
      </c>
      <c r="AS593" s="5" t="str">
        <f>""</f>
        <v/>
      </c>
      <c r="AT593" s="5" t="str">
        <f>""</f>
        <v/>
      </c>
      <c r="AU593" s="5" t="str">
        <f>""</f>
        <v/>
      </c>
      <c r="AV593" s="5" t="str">
        <f t="shared" si="816"/>
        <v>х</v>
      </c>
      <c r="AW593" s="5" t="str">
        <f t="shared" si="816"/>
        <v>х</v>
      </c>
      <c r="AX593" s="5" t="str">
        <f t="shared" si="816"/>
        <v>х</v>
      </c>
      <c r="AY593" s="5" t="str">
        <f t="shared" si="816"/>
        <v>х</v>
      </c>
      <c r="AZ593" s="5" t="str">
        <f t="shared" si="816"/>
        <v>х</v>
      </c>
      <c r="BA593" s="5" t="str">
        <f t="shared" si="816"/>
        <v>х</v>
      </c>
      <c r="BB593" s="5" t="str">
        <f t="shared" si="816"/>
        <v>х</v>
      </c>
      <c r="BC593" s="5" t="str">
        <f t="shared" si="816"/>
        <v>х</v>
      </c>
      <c r="BD593" s="5" t="str">
        <f t="shared" si="816"/>
        <v>х</v>
      </c>
      <c r="BE593" s="5" t="str">
        <f t="shared" si="816"/>
        <v>х</v>
      </c>
      <c r="BF593" s="5" t="str">
        <f t="shared" si="816"/>
        <v>х</v>
      </c>
      <c r="BG593" s="5" t="str">
        <f>""</f>
        <v/>
      </c>
      <c r="BH593" s="5" t="str">
        <f>"52,00"</f>
        <v>52,00</v>
      </c>
      <c r="BI593" s="5" t="str">
        <f>"2020"</f>
        <v>2020</v>
      </c>
      <c r="BJ593" s="5" t="str">
        <f t="shared" si="814"/>
        <v>нет</v>
      </c>
      <c r="BK593" s="5" t="str">
        <f>""</f>
        <v/>
      </c>
      <c r="BL593" s="5" t="str">
        <f>""</f>
        <v/>
      </c>
      <c r="BM593" s="5" t="str">
        <f>""</f>
        <v/>
      </c>
      <c r="BN593" s="5" t="str">
        <f t="shared" si="815"/>
        <v>нет</v>
      </c>
      <c r="BO593" s="5" t="str">
        <f>""</f>
        <v/>
      </c>
      <c r="BP593" s="5" t="str">
        <f>""</f>
        <v/>
      </c>
      <c r="BQ593" s="5" t="str">
        <f>""</f>
        <v/>
      </c>
      <c r="BR593" s="5" t="str">
        <f>""</f>
        <v/>
      </c>
      <c r="BS593" s="5" t="str">
        <f>"52,00"</f>
        <v>52,00</v>
      </c>
      <c r="BT593" s="5" t="str">
        <f>"2020"</f>
        <v>2020</v>
      </c>
      <c r="BU593" s="5" t="str">
        <f t="shared" si="796"/>
        <v>нет</v>
      </c>
      <c r="BV593" s="5" t="str">
        <f t="shared" si="808"/>
        <v>x</v>
      </c>
      <c r="BW593" s="5" t="str">
        <f t="shared" si="808"/>
        <v>x</v>
      </c>
      <c r="BX593" s="5" t="str">
        <f t="shared" si="808"/>
        <v>x</v>
      </c>
      <c r="BY593" s="5" t="str">
        <f t="shared" si="805"/>
        <v>нет</v>
      </c>
      <c r="BZ593" s="5" t="str">
        <f t="shared" si="807"/>
        <v>x</v>
      </c>
      <c r="CA593" s="5" t="str">
        <f t="shared" si="807"/>
        <v>x</v>
      </c>
      <c r="CB593" s="5" t="str">
        <f t="shared" si="807"/>
        <v>x</v>
      </c>
      <c r="CC593" s="5" t="str">
        <f>""</f>
        <v/>
      </c>
      <c r="CD593" s="5" t="str">
        <f>"52,00"</f>
        <v>52,00</v>
      </c>
      <c r="CE593" s="5" t="str">
        <f>"2023"</f>
        <v>2023</v>
      </c>
      <c r="CF593" s="5" t="str">
        <f>""</f>
        <v/>
      </c>
      <c r="CG593" s="5" t="str">
        <f>"52,00"</f>
        <v>52,00</v>
      </c>
      <c r="CH593" s="5" t="str">
        <f>"2023"</f>
        <v>2023</v>
      </c>
      <c r="CI593" s="5" t="str">
        <f>"52,00"</f>
        <v>52,00</v>
      </c>
      <c r="CJ593" s="5" t="str">
        <f>"2023"</f>
        <v>2023</v>
      </c>
    </row>
    <row r="594" spans="1:88" ht="11.25" customHeight="1">
      <c r="A594" s="3" t="str">
        <f>"1.581"</f>
        <v>1.581</v>
      </c>
      <c r="B594" s="4" t="str">
        <f>"пгт. Вохтога, ул. Строителей, д.21"</f>
        <v>пгт. Вохтога, ул. Строителей, д.21</v>
      </c>
      <c r="C594" s="7" t="str">
        <f>"1987"</f>
        <v>1987</v>
      </c>
      <c r="D594" s="5" t="str">
        <f>""</f>
        <v/>
      </c>
      <c r="E594" s="5" t="str">
        <f>"53,00"</f>
        <v>53,00</v>
      </c>
      <c r="F594" s="5" t="str">
        <f>"2020"</f>
        <v>2020</v>
      </c>
      <c r="G594" s="5" t="str">
        <f t="shared" si="809"/>
        <v>нет</v>
      </c>
      <c r="H594" s="5" t="str">
        <f>""</f>
        <v/>
      </c>
      <c r="I594" s="5" t="str">
        <f>""</f>
        <v/>
      </c>
      <c r="J594" s="5" t="str">
        <f>""</f>
        <v/>
      </c>
      <c r="K594" s="5" t="str">
        <f t="shared" si="810"/>
        <v>нет</v>
      </c>
      <c r="L594" s="5" t="str">
        <f>""</f>
        <v/>
      </c>
      <c r="M594" s="5" t="str">
        <f>""</f>
        <v/>
      </c>
      <c r="N594" s="5" t="str">
        <f>""</f>
        <v/>
      </c>
      <c r="O594" s="8" t="str">
        <f>""</f>
        <v/>
      </c>
      <c r="P594" s="5" t="str">
        <f>"53,00"</f>
        <v>53,00</v>
      </c>
      <c r="Q594" s="5" t="str">
        <f>"2025"</f>
        <v>2025</v>
      </c>
      <c r="R594" s="5" t="str">
        <f t="shared" si="812"/>
        <v>нет</v>
      </c>
      <c r="S594" s="5" t="str">
        <f>""</f>
        <v/>
      </c>
      <c r="T594" s="5" t="str">
        <f>""</f>
        <v/>
      </c>
      <c r="U594" s="5" t="str">
        <f>""</f>
        <v/>
      </c>
      <c r="V594" s="5" t="str">
        <f t="shared" si="813"/>
        <v>нет</v>
      </c>
      <c r="W594" s="5" t="str">
        <f>""</f>
        <v/>
      </c>
      <c r="X594" s="5" t="str">
        <f>""</f>
        <v/>
      </c>
      <c r="Y594" s="9" t="str">
        <f>""</f>
        <v/>
      </c>
      <c r="Z594" s="5" t="str">
        <f>""</f>
        <v/>
      </c>
      <c r="AA594" s="5" t="str">
        <f>""</f>
        <v/>
      </c>
      <c r="AB594" s="5" t="str">
        <f>""</f>
        <v/>
      </c>
      <c r="AC594" s="5" t="str">
        <f>""</f>
        <v/>
      </c>
      <c r="AD594" s="5" t="str">
        <f>""</f>
        <v/>
      </c>
      <c r="AE594" s="5" t="str">
        <f>""</f>
        <v/>
      </c>
      <c r="AF594" s="5" t="str">
        <f>""</f>
        <v/>
      </c>
      <c r="AG594" s="5" t="str">
        <f>""</f>
        <v/>
      </c>
      <c r="AH594" s="5" t="str">
        <f>""</f>
        <v/>
      </c>
      <c r="AI594" s="5" t="str">
        <f>""</f>
        <v/>
      </c>
      <c r="AJ594" s="5" t="str">
        <f>""</f>
        <v/>
      </c>
      <c r="AK594" s="8" t="str">
        <f>""</f>
        <v/>
      </c>
      <c r="AL594" s="5" t="str">
        <f>"53,00"</f>
        <v>53,00</v>
      </c>
      <c r="AM594" s="5" t="str">
        <f>"2024"</f>
        <v>2024</v>
      </c>
      <c r="AN594" s="5" t="str">
        <f t="shared" si="802"/>
        <v>нет</v>
      </c>
      <c r="AO594" s="5" t="str">
        <f>""</f>
        <v/>
      </c>
      <c r="AP594" s="5" t="str">
        <f>""</f>
        <v/>
      </c>
      <c r="AQ594" s="5" t="str">
        <f>""</f>
        <v/>
      </c>
      <c r="AR594" s="5" t="str">
        <f t="shared" si="801"/>
        <v>нет</v>
      </c>
      <c r="AS594" s="5" t="str">
        <f>""</f>
        <v/>
      </c>
      <c r="AT594" s="5" t="str">
        <f>""</f>
        <v/>
      </c>
      <c r="AU594" s="5" t="str">
        <f>""</f>
        <v/>
      </c>
      <c r="AV594" s="5" t="str">
        <f t="shared" si="816"/>
        <v>х</v>
      </c>
      <c r="AW594" s="5" t="str">
        <f t="shared" si="816"/>
        <v>х</v>
      </c>
      <c r="AX594" s="5" t="str">
        <f t="shared" si="816"/>
        <v>х</v>
      </c>
      <c r="AY594" s="5" t="str">
        <f t="shared" si="816"/>
        <v>х</v>
      </c>
      <c r="AZ594" s="5" t="str">
        <f t="shared" si="816"/>
        <v>х</v>
      </c>
      <c r="BA594" s="5" t="str">
        <f t="shared" si="816"/>
        <v>х</v>
      </c>
      <c r="BB594" s="5" t="str">
        <f t="shared" si="816"/>
        <v>х</v>
      </c>
      <c r="BC594" s="5" t="str">
        <f t="shared" si="816"/>
        <v>х</v>
      </c>
      <c r="BD594" s="5" t="str">
        <f t="shared" si="816"/>
        <v>х</v>
      </c>
      <c r="BE594" s="5" t="str">
        <f t="shared" si="816"/>
        <v>х</v>
      </c>
      <c r="BF594" s="5" t="str">
        <f t="shared" si="816"/>
        <v>х</v>
      </c>
      <c r="BG594" s="5" t="str">
        <f>""</f>
        <v/>
      </c>
      <c r="BH594" s="5" t="str">
        <f>"53,00"</f>
        <v>53,00</v>
      </c>
      <c r="BI594" s="5" t="str">
        <f>"2020"</f>
        <v>2020</v>
      </c>
      <c r="BJ594" s="5" t="str">
        <f t="shared" si="814"/>
        <v>нет</v>
      </c>
      <c r="BK594" s="5" t="str">
        <f>""</f>
        <v/>
      </c>
      <c r="BL594" s="5" t="str">
        <f>""</f>
        <v/>
      </c>
      <c r="BM594" s="5" t="str">
        <f>""</f>
        <v/>
      </c>
      <c r="BN594" s="5" t="str">
        <f t="shared" si="815"/>
        <v>нет</v>
      </c>
      <c r="BO594" s="5" t="str">
        <f>""</f>
        <v/>
      </c>
      <c r="BP594" s="5" t="str">
        <f>""</f>
        <v/>
      </c>
      <c r="BQ594" s="5" t="str">
        <f>""</f>
        <v/>
      </c>
      <c r="BR594" s="5" t="str">
        <f>"2009"</f>
        <v>2009</v>
      </c>
      <c r="BS594" s="5" t="str">
        <f>"53,00"</f>
        <v>53,00</v>
      </c>
      <c r="BT594" s="5" t="str">
        <f>"2025"</f>
        <v>2025</v>
      </c>
      <c r="BU594" s="5" t="str">
        <f t="shared" si="796"/>
        <v>нет</v>
      </c>
      <c r="BV594" s="5" t="str">
        <f t="shared" si="808"/>
        <v>x</v>
      </c>
      <c r="BW594" s="5" t="str">
        <f t="shared" si="808"/>
        <v>x</v>
      </c>
      <c r="BX594" s="5" t="str">
        <f t="shared" si="808"/>
        <v>x</v>
      </c>
      <c r="BY594" s="5" t="str">
        <f t="shared" si="805"/>
        <v>нет</v>
      </c>
      <c r="BZ594" s="5" t="str">
        <f t="shared" si="807"/>
        <v>x</v>
      </c>
      <c r="CA594" s="5" t="str">
        <f t="shared" si="807"/>
        <v>x</v>
      </c>
      <c r="CB594" s="5" t="str">
        <f t="shared" si="807"/>
        <v>x</v>
      </c>
      <c r="CC594" s="5" t="str">
        <f>""</f>
        <v/>
      </c>
      <c r="CD594" s="5" t="str">
        <f>"53,00"</f>
        <v>53,00</v>
      </c>
      <c r="CE594" s="5" t="str">
        <f>"2019"</f>
        <v>2019</v>
      </c>
      <c r="CF594" s="5" t="str">
        <f>"2009"</f>
        <v>2009</v>
      </c>
      <c r="CG594" s="5" t="str">
        <f>"53,00"</f>
        <v>53,00</v>
      </c>
      <c r="CH594" s="5" t="str">
        <f>"2019"</f>
        <v>2019</v>
      </c>
      <c r="CI594" s="5" t="str">
        <f>"53,00"</f>
        <v>53,00</v>
      </c>
      <c r="CJ594" s="5" t="str">
        <f>"2020"</f>
        <v>2020</v>
      </c>
    </row>
    <row r="595" spans="1:88" ht="11.25" customHeight="1">
      <c r="A595" s="3" t="str">
        <f>"1.582"</f>
        <v>1.582</v>
      </c>
      <c r="B595" s="4" t="str">
        <f>"пгт. Вохтога, ул. Строителей, д.21А"</f>
        <v>пгт. Вохтога, ул. Строителей, д.21А</v>
      </c>
      <c r="C595" s="7" t="str">
        <f>"1970"</f>
        <v>1970</v>
      </c>
      <c r="D595" s="5" t="str">
        <f>""</f>
        <v/>
      </c>
      <c r="E595" s="5" t="str">
        <f>"64,00"</f>
        <v>64,00</v>
      </c>
      <c r="F595" s="5" t="str">
        <f>"2020"</f>
        <v>2020</v>
      </c>
      <c r="G595" s="5" t="str">
        <f t="shared" si="809"/>
        <v>нет</v>
      </c>
      <c r="H595" s="5" t="str">
        <f>""</f>
        <v/>
      </c>
      <c r="I595" s="5" t="str">
        <f>""</f>
        <v/>
      </c>
      <c r="J595" s="5" t="str">
        <f>""</f>
        <v/>
      </c>
      <c r="K595" s="5" t="str">
        <f t="shared" si="810"/>
        <v>нет</v>
      </c>
      <c r="L595" s="5" t="str">
        <f>""</f>
        <v/>
      </c>
      <c r="M595" s="5" t="str">
        <f>""</f>
        <v/>
      </c>
      <c r="N595" s="5" t="str">
        <f>""</f>
        <v/>
      </c>
      <c r="O595" s="8" t="str">
        <f>""</f>
        <v/>
      </c>
      <c r="P595" s="5" t="str">
        <f>"64,00"</f>
        <v>64,00</v>
      </c>
      <c r="Q595" s="5" t="str">
        <f>"2020"</f>
        <v>2020</v>
      </c>
      <c r="R595" s="5" t="str">
        <f t="shared" si="812"/>
        <v>нет</v>
      </c>
      <c r="S595" s="5" t="str">
        <f>""</f>
        <v/>
      </c>
      <c r="T595" s="5" t="str">
        <f>""</f>
        <v/>
      </c>
      <c r="U595" s="5" t="str">
        <f>""</f>
        <v/>
      </c>
      <c r="V595" s="5" t="str">
        <f t="shared" si="813"/>
        <v>нет</v>
      </c>
      <c r="W595" s="5" t="str">
        <f>""</f>
        <v/>
      </c>
      <c r="X595" s="5" t="str">
        <f>""</f>
        <v/>
      </c>
      <c r="Y595" s="9" t="str">
        <f>""</f>
        <v/>
      </c>
      <c r="Z595" s="5" t="str">
        <f>""</f>
        <v/>
      </c>
      <c r="AA595" s="5" t="str">
        <f>""</f>
        <v/>
      </c>
      <c r="AB595" s="5" t="str">
        <f>""</f>
        <v/>
      </c>
      <c r="AC595" s="5" t="str">
        <f>""</f>
        <v/>
      </c>
      <c r="AD595" s="5" t="str">
        <f>""</f>
        <v/>
      </c>
      <c r="AE595" s="5" t="str">
        <f>""</f>
        <v/>
      </c>
      <c r="AF595" s="5" t="str">
        <f>""</f>
        <v/>
      </c>
      <c r="AG595" s="5" t="str">
        <f>""</f>
        <v/>
      </c>
      <c r="AH595" s="5" t="str">
        <f>""</f>
        <v/>
      </c>
      <c r="AI595" s="5" t="str">
        <f>""</f>
        <v/>
      </c>
      <c r="AJ595" s="5" t="str">
        <f>""</f>
        <v/>
      </c>
      <c r="AK595" s="8" t="str">
        <f>""</f>
        <v/>
      </c>
      <c r="AL595" s="5" t="str">
        <f>"64,00"</f>
        <v>64,00</v>
      </c>
      <c r="AM595" s="5" t="str">
        <f>"2020"</f>
        <v>2020</v>
      </c>
      <c r="AN595" s="5" t="str">
        <f t="shared" si="802"/>
        <v>нет</v>
      </c>
      <c r="AO595" s="5" t="str">
        <f>""</f>
        <v/>
      </c>
      <c r="AP595" s="5" t="str">
        <f>""</f>
        <v/>
      </c>
      <c r="AQ595" s="5" t="str">
        <f>""</f>
        <v/>
      </c>
      <c r="AR595" s="5" t="str">
        <f t="shared" si="801"/>
        <v>нет</v>
      </c>
      <c r="AS595" s="5" t="str">
        <f>""</f>
        <v/>
      </c>
      <c r="AT595" s="5" t="str">
        <f>""</f>
        <v/>
      </c>
      <c r="AU595" s="5" t="str">
        <f>""</f>
        <v/>
      </c>
      <c r="AV595" s="5" t="str">
        <f t="shared" si="816"/>
        <v>х</v>
      </c>
      <c r="AW595" s="5" t="str">
        <f t="shared" si="816"/>
        <v>х</v>
      </c>
      <c r="AX595" s="5" t="str">
        <f t="shared" si="816"/>
        <v>х</v>
      </c>
      <c r="AY595" s="5" t="str">
        <f t="shared" si="816"/>
        <v>х</v>
      </c>
      <c r="AZ595" s="5" t="str">
        <f t="shared" si="816"/>
        <v>х</v>
      </c>
      <c r="BA595" s="5" t="str">
        <f t="shared" si="816"/>
        <v>х</v>
      </c>
      <c r="BB595" s="5" t="str">
        <f t="shared" si="816"/>
        <v>х</v>
      </c>
      <c r="BC595" s="5" t="str">
        <f t="shared" si="816"/>
        <v>х</v>
      </c>
      <c r="BD595" s="5" t="str">
        <f t="shared" si="816"/>
        <v>х</v>
      </c>
      <c r="BE595" s="5" t="str">
        <f t="shared" si="816"/>
        <v>х</v>
      </c>
      <c r="BF595" s="5" t="str">
        <f t="shared" si="816"/>
        <v>х</v>
      </c>
      <c r="BG595" s="5" t="str">
        <f>""</f>
        <v/>
      </c>
      <c r="BH595" s="5" t="str">
        <f>"64,00"</f>
        <v>64,00</v>
      </c>
      <c r="BI595" s="5" t="str">
        <f>"2020"</f>
        <v>2020</v>
      </c>
      <c r="BJ595" s="5" t="str">
        <f t="shared" si="814"/>
        <v>нет</v>
      </c>
      <c r="BK595" s="5" t="str">
        <f>""</f>
        <v/>
      </c>
      <c r="BL595" s="5" t="str">
        <f>""</f>
        <v/>
      </c>
      <c r="BM595" s="5" t="str">
        <f>""</f>
        <v/>
      </c>
      <c r="BN595" s="5" t="str">
        <f t="shared" si="815"/>
        <v>нет</v>
      </c>
      <c r="BO595" s="5" t="str">
        <f>""</f>
        <v/>
      </c>
      <c r="BP595" s="5" t="str">
        <f>""</f>
        <v/>
      </c>
      <c r="BQ595" s="5" t="str">
        <f>""</f>
        <v/>
      </c>
      <c r="BR595" s="5" t="str">
        <f>""</f>
        <v/>
      </c>
      <c r="BS595" s="5" t="str">
        <f>"64,00"</f>
        <v>64,00</v>
      </c>
      <c r="BT595" s="5" t="str">
        <f>"2019"</f>
        <v>2019</v>
      </c>
      <c r="BU595" s="5" t="str">
        <f t="shared" si="796"/>
        <v>нет</v>
      </c>
      <c r="BV595" s="5" t="str">
        <f t="shared" si="808"/>
        <v>x</v>
      </c>
      <c r="BW595" s="5" t="str">
        <f t="shared" si="808"/>
        <v>x</v>
      </c>
      <c r="BX595" s="5" t="str">
        <f t="shared" si="808"/>
        <v>x</v>
      </c>
      <c r="BY595" s="5" t="str">
        <f t="shared" si="805"/>
        <v>нет</v>
      </c>
      <c r="BZ595" s="5" t="str">
        <f t="shared" si="807"/>
        <v>x</v>
      </c>
      <c r="CA595" s="5" t="str">
        <f t="shared" si="807"/>
        <v>x</v>
      </c>
      <c r="CB595" s="5" t="str">
        <f t="shared" si="807"/>
        <v>x</v>
      </c>
      <c r="CC595" s="5" t="str">
        <f>""</f>
        <v/>
      </c>
      <c r="CD595" s="5" t="str">
        <f>"64,00"</f>
        <v>64,00</v>
      </c>
      <c r="CE595" s="5" t="str">
        <f>"2019"</f>
        <v>2019</v>
      </c>
      <c r="CF595" s="5" t="str">
        <f>""</f>
        <v/>
      </c>
      <c r="CG595" s="5" t="str">
        <f>"64,00"</f>
        <v>64,00</v>
      </c>
      <c r="CH595" s="5" t="str">
        <f>"2019"</f>
        <v>2019</v>
      </c>
      <c r="CI595" s="5" t="str">
        <f>"64,00"</f>
        <v>64,00</v>
      </c>
      <c r="CJ595" s="5" t="str">
        <f>"2019"</f>
        <v>2019</v>
      </c>
    </row>
    <row r="596" spans="1:88" ht="11.25" customHeight="1">
      <c r="A596" s="3" t="str">
        <f>"1.583"</f>
        <v>1.583</v>
      </c>
      <c r="B596" s="4" t="str">
        <f>"пгт. Вохтога, ул. Строителей, д.23"</f>
        <v>пгт. Вохтога, ул. Строителей, д.23</v>
      </c>
      <c r="C596" s="7" t="str">
        <f>"1974"</f>
        <v>1974</v>
      </c>
      <c r="D596" s="5" t="str">
        <f>""</f>
        <v/>
      </c>
      <c r="E596" s="5" t="str">
        <f>"51,00"</f>
        <v>51,00</v>
      </c>
      <c r="F596" s="5" t="str">
        <f>"2019"</f>
        <v>2019</v>
      </c>
      <c r="G596" s="5" t="str">
        <f t="shared" si="809"/>
        <v>нет</v>
      </c>
      <c r="H596" s="5" t="str">
        <f>""</f>
        <v/>
      </c>
      <c r="I596" s="5" t="str">
        <f>""</f>
        <v/>
      </c>
      <c r="J596" s="5" t="str">
        <f>""</f>
        <v/>
      </c>
      <c r="K596" s="5" t="str">
        <f t="shared" si="810"/>
        <v>нет</v>
      </c>
      <c r="L596" s="5" t="str">
        <f>""</f>
        <v/>
      </c>
      <c r="M596" s="5" t="str">
        <f>""</f>
        <v/>
      </c>
      <c r="N596" s="5" t="str">
        <f>""</f>
        <v/>
      </c>
      <c r="O596" s="8" t="str">
        <f>""</f>
        <v/>
      </c>
      <c r="P596" s="5" t="str">
        <f>"51,00"</f>
        <v>51,00</v>
      </c>
      <c r="Q596" s="5" t="str">
        <f>"2019"</f>
        <v>2019</v>
      </c>
      <c r="R596" s="5" t="str">
        <f t="shared" si="812"/>
        <v>нет</v>
      </c>
      <c r="S596" s="5" t="str">
        <f>""</f>
        <v/>
      </c>
      <c r="T596" s="5" t="str">
        <f>""</f>
        <v/>
      </c>
      <c r="U596" s="5" t="str">
        <f>""</f>
        <v/>
      </c>
      <c r="V596" s="5" t="str">
        <f t="shared" si="813"/>
        <v>нет</v>
      </c>
      <c r="W596" s="5" t="str">
        <f>""</f>
        <v/>
      </c>
      <c r="X596" s="5" t="str">
        <f>""</f>
        <v/>
      </c>
      <c r="Y596" s="9" t="str">
        <f>""</f>
        <v/>
      </c>
      <c r="Z596" s="5" t="str">
        <f>""</f>
        <v/>
      </c>
      <c r="AA596" s="5" t="str">
        <f>""</f>
        <v/>
      </c>
      <c r="AB596" s="5" t="str">
        <f>""</f>
        <v/>
      </c>
      <c r="AC596" s="5" t="str">
        <f>""</f>
        <v/>
      </c>
      <c r="AD596" s="5" t="str">
        <f>""</f>
        <v/>
      </c>
      <c r="AE596" s="5" t="str">
        <f>""</f>
        <v/>
      </c>
      <c r="AF596" s="5" t="str">
        <f>""</f>
        <v/>
      </c>
      <c r="AG596" s="5" t="str">
        <f>""</f>
        <v/>
      </c>
      <c r="AH596" s="5" t="str">
        <f>""</f>
        <v/>
      </c>
      <c r="AI596" s="5" t="str">
        <f>""</f>
        <v/>
      </c>
      <c r="AJ596" s="5" t="str">
        <f>""</f>
        <v/>
      </c>
      <c r="AK596" s="8" t="str">
        <f>""</f>
        <v/>
      </c>
      <c r="AL596" s="5" t="str">
        <f>"51,00"</f>
        <v>51,00</v>
      </c>
      <c r="AM596" s="5" t="str">
        <f>"2019"</f>
        <v>2019</v>
      </c>
      <c r="AN596" s="5" t="str">
        <f t="shared" si="802"/>
        <v>нет</v>
      </c>
      <c r="AO596" s="5" t="str">
        <f>""</f>
        <v/>
      </c>
      <c r="AP596" s="5" t="str">
        <f>""</f>
        <v/>
      </c>
      <c r="AQ596" s="5" t="str">
        <f>""</f>
        <v/>
      </c>
      <c r="AR596" s="5" t="str">
        <f t="shared" si="801"/>
        <v>нет</v>
      </c>
      <c r="AS596" s="5" t="str">
        <f>""</f>
        <v/>
      </c>
      <c r="AT596" s="5" t="str">
        <f>""</f>
        <v/>
      </c>
      <c r="AU596" s="5" t="str">
        <f>""</f>
        <v/>
      </c>
      <c r="AV596" s="5" t="str">
        <f t="shared" si="816"/>
        <v>х</v>
      </c>
      <c r="AW596" s="5" t="str">
        <f t="shared" si="816"/>
        <v>х</v>
      </c>
      <c r="AX596" s="5" t="str">
        <f t="shared" si="816"/>
        <v>х</v>
      </c>
      <c r="AY596" s="5" t="str">
        <f t="shared" si="816"/>
        <v>х</v>
      </c>
      <c r="AZ596" s="5" t="str">
        <f t="shared" si="816"/>
        <v>х</v>
      </c>
      <c r="BA596" s="5" t="str">
        <f t="shared" si="816"/>
        <v>х</v>
      </c>
      <c r="BB596" s="5" t="str">
        <f t="shared" si="816"/>
        <v>х</v>
      </c>
      <c r="BC596" s="5" t="str">
        <f t="shared" si="816"/>
        <v>х</v>
      </c>
      <c r="BD596" s="5" t="str">
        <f t="shared" si="816"/>
        <v>х</v>
      </c>
      <c r="BE596" s="5" t="str">
        <f t="shared" si="816"/>
        <v>х</v>
      </c>
      <c r="BF596" s="5" t="str">
        <f t="shared" si="816"/>
        <v>х</v>
      </c>
      <c r="BG596" s="5" t="str">
        <f>""</f>
        <v/>
      </c>
      <c r="BH596" s="5" t="str">
        <f>"51,00"</f>
        <v>51,00</v>
      </c>
      <c r="BI596" s="5" t="str">
        <f>"2019"</f>
        <v>2019</v>
      </c>
      <c r="BJ596" s="5" t="str">
        <f t="shared" si="814"/>
        <v>нет</v>
      </c>
      <c r="BK596" s="5" t="str">
        <f>""</f>
        <v/>
      </c>
      <c r="BL596" s="5" t="str">
        <f>""</f>
        <v/>
      </c>
      <c r="BM596" s="5" t="str">
        <f>""</f>
        <v/>
      </c>
      <c r="BN596" s="5" t="str">
        <f t="shared" si="815"/>
        <v>нет</v>
      </c>
      <c r="BO596" s="5" t="str">
        <f>""</f>
        <v/>
      </c>
      <c r="BP596" s="5" t="str">
        <f>""</f>
        <v/>
      </c>
      <c r="BQ596" s="5" t="str">
        <f>""</f>
        <v/>
      </c>
      <c r="BR596" s="5" t="str">
        <f>""</f>
        <v/>
      </c>
      <c r="BS596" s="5" t="str">
        <f>"51,00"</f>
        <v>51,00</v>
      </c>
      <c r="BT596" s="5" t="str">
        <f>"2019"</f>
        <v>2019</v>
      </c>
      <c r="BU596" s="5" t="str">
        <f t="shared" si="796"/>
        <v>нет</v>
      </c>
      <c r="BV596" s="5" t="str">
        <f t="shared" si="808"/>
        <v>x</v>
      </c>
      <c r="BW596" s="5" t="str">
        <f t="shared" si="808"/>
        <v>x</v>
      </c>
      <c r="BX596" s="5" t="str">
        <f t="shared" si="808"/>
        <v>x</v>
      </c>
      <c r="BY596" s="5" t="str">
        <f t="shared" si="805"/>
        <v>нет</v>
      </c>
      <c r="BZ596" s="5" t="str">
        <f t="shared" si="807"/>
        <v>x</v>
      </c>
      <c r="CA596" s="5" t="str">
        <f t="shared" si="807"/>
        <v>x</v>
      </c>
      <c r="CB596" s="5" t="str">
        <f t="shared" si="807"/>
        <v>x</v>
      </c>
      <c r="CC596" s="5" t="str">
        <f>""</f>
        <v/>
      </c>
      <c r="CD596" s="5" t="str">
        <f>"51,00"</f>
        <v>51,00</v>
      </c>
      <c r="CE596" s="5" t="str">
        <f>"2019"</f>
        <v>2019</v>
      </c>
      <c r="CF596" s="5" t="str">
        <f>""</f>
        <v/>
      </c>
      <c r="CG596" s="5" t="str">
        <f>"51,00"</f>
        <v>51,00</v>
      </c>
      <c r="CH596" s="5" t="str">
        <f>"2019"</f>
        <v>2019</v>
      </c>
      <c r="CI596" s="5" t="str">
        <f>"51,00"</f>
        <v>51,00</v>
      </c>
      <c r="CJ596" s="5" t="str">
        <f>"2019"</f>
        <v>2019</v>
      </c>
    </row>
    <row r="597" spans="1:88" ht="11.25" customHeight="1">
      <c r="A597" s="3" t="str">
        <f>"1.584"</f>
        <v>1.584</v>
      </c>
      <c r="B597" s="4" t="str">
        <f>"пгт. Вохтога, ул. Строителей, д.25"</f>
        <v>пгт. Вохтога, ул. Строителей, д.25</v>
      </c>
      <c r="C597" s="7" t="str">
        <f>"1975"</f>
        <v>1975</v>
      </c>
      <c r="D597" s="5" t="str">
        <f>""</f>
        <v/>
      </c>
      <c r="E597" s="5" t="str">
        <f>"61,00"</f>
        <v>61,00</v>
      </c>
      <c r="F597" s="5" t="str">
        <f>"2020"</f>
        <v>2020</v>
      </c>
      <c r="G597" s="5" t="str">
        <f t="shared" si="809"/>
        <v>нет</v>
      </c>
      <c r="H597" s="5" t="str">
        <f>""</f>
        <v/>
      </c>
      <c r="I597" s="5" t="str">
        <f>""</f>
        <v/>
      </c>
      <c r="J597" s="5" t="str">
        <f>""</f>
        <v/>
      </c>
      <c r="K597" s="5" t="str">
        <f t="shared" si="810"/>
        <v>нет</v>
      </c>
      <c r="L597" s="5" t="str">
        <f>""</f>
        <v/>
      </c>
      <c r="M597" s="5" t="str">
        <f>""</f>
        <v/>
      </c>
      <c r="N597" s="5" t="str">
        <f>""</f>
        <v/>
      </c>
      <c r="O597" s="8" t="str">
        <f>""</f>
        <v/>
      </c>
      <c r="P597" s="5" t="str">
        <f>"61,00"</f>
        <v>61,00</v>
      </c>
      <c r="Q597" s="5" t="str">
        <f>"2020"</f>
        <v>2020</v>
      </c>
      <c r="R597" s="5" t="str">
        <f t="shared" si="812"/>
        <v>нет</v>
      </c>
      <c r="S597" s="5" t="str">
        <f>""</f>
        <v/>
      </c>
      <c r="T597" s="5" t="str">
        <f>""</f>
        <v/>
      </c>
      <c r="U597" s="5" t="str">
        <f>""</f>
        <v/>
      </c>
      <c r="V597" s="5" t="str">
        <f t="shared" si="813"/>
        <v>нет</v>
      </c>
      <c r="W597" s="5" t="str">
        <f>""</f>
        <v/>
      </c>
      <c r="X597" s="5" t="str">
        <f>""</f>
        <v/>
      </c>
      <c r="Y597" s="9" t="str">
        <f>""</f>
        <v/>
      </c>
      <c r="Z597" s="5" t="str">
        <f>""</f>
        <v/>
      </c>
      <c r="AA597" s="5" t="str">
        <f>""</f>
        <v/>
      </c>
      <c r="AB597" s="5" t="str">
        <f>""</f>
        <v/>
      </c>
      <c r="AC597" s="5" t="str">
        <f>""</f>
        <v/>
      </c>
      <c r="AD597" s="5" t="str">
        <f>""</f>
        <v/>
      </c>
      <c r="AE597" s="5" t="str">
        <f>""</f>
        <v/>
      </c>
      <c r="AF597" s="5" t="str">
        <f>""</f>
        <v/>
      </c>
      <c r="AG597" s="5" t="str">
        <f>""</f>
        <v/>
      </c>
      <c r="AH597" s="5" t="str">
        <f>""</f>
        <v/>
      </c>
      <c r="AI597" s="5" t="str">
        <f>""</f>
        <v/>
      </c>
      <c r="AJ597" s="5" t="str">
        <f>""</f>
        <v/>
      </c>
      <c r="AK597" s="8" t="str">
        <f>""</f>
        <v/>
      </c>
      <c r="AL597" s="5" t="str">
        <f>"61,00"</f>
        <v>61,00</v>
      </c>
      <c r="AM597" s="5" t="str">
        <f>"2020"</f>
        <v>2020</v>
      </c>
      <c r="AN597" s="5" t="str">
        <f t="shared" si="802"/>
        <v>нет</v>
      </c>
      <c r="AO597" s="5" t="str">
        <f>""</f>
        <v/>
      </c>
      <c r="AP597" s="5" t="str">
        <f>""</f>
        <v/>
      </c>
      <c r="AQ597" s="5" t="str">
        <f>""</f>
        <v/>
      </c>
      <c r="AR597" s="5" t="str">
        <f t="shared" si="801"/>
        <v>нет</v>
      </c>
      <c r="AS597" s="5" t="str">
        <f>""</f>
        <v/>
      </c>
      <c r="AT597" s="5" t="str">
        <f>""</f>
        <v/>
      </c>
      <c r="AU597" s="5" t="str">
        <f>""</f>
        <v/>
      </c>
      <c r="AV597" s="5" t="str">
        <f t="shared" si="816"/>
        <v>х</v>
      </c>
      <c r="AW597" s="5" t="str">
        <f t="shared" si="816"/>
        <v>х</v>
      </c>
      <c r="AX597" s="5" t="str">
        <f t="shared" si="816"/>
        <v>х</v>
      </c>
      <c r="AY597" s="5" t="str">
        <f t="shared" si="816"/>
        <v>х</v>
      </c>
      <c r="AZ597" s="5" t="str">
        <f t="shared" si="816"/>
        <v>х</v>
      </c>
      <c r="BA597" s="5" t="str">
        <f t="shared" si="816"/>
        <v>х</v>
      </c>
      <c r="BB597" s="5" t="str">
        <f t="shared" si="816"/>
        <v>х</v>
      </c>
      <c r="BC597" s="5" t="str">
        <f t="shared" si="816"/>
        <v>х</v>
      </c>
      <c r="BD597" s="5" t="str">
        <f t="shared" si="816"/>
        <v>х</v>
      </c>
      <c r="BE597" s="5" t="str">
        <f t="shared" si="816"/>
        <v>х</v>
      </c>
      <c r="BF597" s="5" t="str">
        <f t="shared" si="816"/>
        <v>х</v>
      </c>
      <c r="BG597" s="5" t="str">
        <f>""</f>
        <v/>
      </c>
      <c r="BH597" s="5" t="str">
        <f>"61,00"</f>
        <v>61,00</v>
      </c>
      <c r="BI597" s="5" t="str">
        <f>"2020"</f>
        <v>2020</v>
      </c>
      <c r="BJ597" s="5" t="str">
        <f t="shared" si="814"/>
        <v>нет</v>
      </c>
      <c r="BK597" s="5" t="str">
        <f>""</f>
        <v/>
      </c>
      <c r="BL597" s="5" t="str">
        <f>""</f>
        <v/>
      </c>
      <c r="BM597" s="5" t="str">
        <f>""</f>
        <v/>
      </c>
      <c r="BN597" s="5" t="str">
        <f t="shared" si="815"/>
        <v>нет</v>
      </c>
      <c r="BO597" s="5" t="str">
        <f>""</f>
        <v/>
      </c>
      <c r="BP597" s="5" t="str">
        <f>""</f>
        <v/>
      </c>
      <c r="BQ597" s="5" t="str">
        <f>""</f>
        <v/>
      </c>
      <c r="BR597" s="5" t="str">
        <f>""</f>
        <v/>
      </c>
      <c r="BS597" s="5" t="str">
        <f>"61,00"</f>
        <v>61,00</v>
      </c>
      <c r="BT597" s="5" t="str">
        <f>"2020"</f>
        <v>2020</v>
      </c>
      <c r="BU597" s="5" t="str">
        <f t="shared" si="796"/>
        <v>нет</v>
      </c>
      <c r="BV597" s="5" t="str">
        <f t="shared" si="808"/>
        <v>x</v>
      </c>
      <c r="BW597" s="5" t="str">
        <f t="shared" si="808"/>
        <v>x</v>
      </c>
      <c r="BX597" s="5" t="str">
        <f t="shared" si="808"/>
        <v>x</v>
      </c>
      <c r="BY597" s="5" t="str">
        <f t="shared" si="805"/>
        <v>нет</v>
      </c>
      <c r="BZ597" s="5" t="str">
        <f t="shared" si="807"/>
        <v>x</v>
      </c>
      <c r="CA597" s="5" t="str">
        <f t="shared" si="807"/>
        <v>x</v>
      </c>
      <c r="CB597" s="5" t="str">
        <f t="shared" si="807"/>
        <v>x</v>
      </c>
      <c r="CC597" s="5" t="str">
        <f>""</f>
        <v/>
      </c>
      <c r="CD597" s="5" t="str">
        <f>"61,00"</f>
        <v>61,00</v>
      </c>
      <c r="CE597" s="5" t="str">
        <f>"2022"</f>
        <v>2022</v>
      </c>
      <c r="CF597" s="5" t="str">
        <f>""</f>
        <v/>
      </c>
      <c r="CG597" s="5" t="str">
        <f>"61,00"</f>
        <v>61,00</v>
      </c>
      <c r="CH597" s="5" t="str">
        <f>"2022"</f>
        <v>2022</v>
      </c>
      <c r="CI597" s="5" t="str">
        <f>"61,00"</f>
        <v>61,00</v>
      </c>
      <c r="CJ597" s="5" t="str">
        <f>"2022"</f>
        <v>2022</v>
      </c>
    </row>
    <row r="598" spans="1:88" ht="11.25" customHeight="1">
      <c r="A598" s="3" t="str">
        <f>"1.585"</f>
        <v>1.585</v>
      </c>
      <c r="B598" s="4" t="str">
        <f>"пгт. Вохтога, ул. Строителей, д.27"</f>
        <v>пгт. Вохтога, ул. Строителей, д.27</v>
      </c>
      <c r="C598" s="7" t="str">
        <f>"1975"</f>
        <v>1975</v>
      </c>
      <c r="D598" s="5" t="str">
        <f>""</f>
        <v/>
      </c>
      <c r="E598" s="5" t="str">
        <f>"52,00"</f>
        <v>52,00</v>
      </c>
      <c r="F598" s="5" t="str">
        <f>"2020"</f>
        <v>2020</v>
      </c>
      <c r="G598" s="5" t="str">
        <f t="shared" si="809"/>
        <v>нет</v>
      </c>
      <c r="H598" s="5" t="str">
        <f>""</f>
        <v/>
      </c>
      <c r="I598" s="5" t="str">
        <f>""</f>
        <v/>
      </c>
      <c r="J598" s="5" t="str">
        <f>""</f>
        <v/>
      </c>
      <c r="K598" s="5" t="str">
        <f t="shared" si="810"/>
        <v>нет</v>
      </c>
      <c r="L598" s="5" t="str">
        <f>""</f>
        <v/>
      </c>
      <c r="M598" s="5" t="str">
        <f>""</f>
        <v/>
      </c>
      <c r="N598" s="5" t="str">
        <f>""</f>
        <v/>
      </c>
      <c r="O598" s="8" t="str">
        <f>""</f>
        <v/>
      </c>
      <c r="P598" s="5" t="str">
        <f>"52,00"</f>
        <v>52,00</v>
      </c>
      <c r="Q598" s="5" t="str">
        <f>"2025"</f>
        <v>2025</v>
      </c>
      <c r="R598" s="5" t="str">
        <f t="shared" si="812"/>
        <v>нет</v>
      </c>
      <c r="S598" s="5" t="str">
        <f>""</f>
        <v/>
      </c>
      <c r="T598" s="5" t="str">
        <f>""</f>
        <v/>
      </c>
      <c r="U598" s="5" t="str">
        <f>""</f>
        <v/>
      </c>
      <c r="V598" s="5" t="str">
        <f t="shared" si="813"/>
        <v>нет</v>
      </c>
      <c r="W598" s="5" t="str">
        <f>""</f>
        <v/>
      </c>
      <c r="X598" s="5" t="str">
        <f>""</f>
        <v/>
      </c>
      <c r="Y598" s="9" t="str">
        <f>""</f>
        <v/>
      </c>
      <c r="Z598" s="5" t="str">
        <f>""</f>
        <v/>
      </c>
      <c r="AA598" s="5" t="str">
        <f>""</f>
        <v/>
      </c>
      <c r="AB598" s="5" t="str">
        <f>""</f>
        <v/>
      </c>
      <c r="AC598" s="5" t="str">
        <f>""</f>
        <v/>
      </c>
      <c r="AD598" s="5" t="str">
        <f>""</f>
        <v/>
      </c>
      <c r="AE598" s="5" t="str">
        <f>""</f>
        <v/>
      </c>
      <c r="AF598" s="5" t="str">
        <f>""</f>
        <v/>
      </c>
      <c r="AG598" s="5" t="str">
        <f>""</f>
        <v/>
      </c>
      <c r="AH598" s="5" t="str">
        <f>""</f>
        <v/>
      </c>
      <c r="AI598" s="5" t="str">
        <f>""</f>
        <v/>
      </c>
      <c r="AJ598" s="5" t="str">
        <f>""</f>
        <v/>
      </c>
      <c r="AK598" s="8" t="str">
        <f>""</f>
        <v/>
      </c>
      <c r="AL598" s="5" t="str">
        <f>"52,00"</f>
        <v>52,00</v>
      </c>
      <c r="AM598" s="5" t="str">
        <f>"2024"</f>
        <v>2024</v>
      </c>
      <c r="AN598" s="5" t="str">
        <f t="shared" si="802"/>
        <v>нет</v>
      </c>
      <c r="AO598" s="5" t="str">
        <f>""</f>
        <v/>
      </c>
      <c r="AP598" s="5" t="str">
        <f>""</f>
        <v/>
      </c>
      <c r="AQ598" s="5" t="str">
        <f>""</f>
        <v/>
      </c>
      <c r="AR598" s="5" t="str">
        <f t="shared" ref="AR598:AR631" si="817">"нет"</f>
        <v>нет</v>
      </c>
      <c r="AS598" s="5" t="str">
        <f>""</f>
        <v/>
      </c>
      <c r="AT598" s="5" t="str">
        <f>""</f>
        <v/>
      </c>
      <c r="AU598" s="5" t="str">
        <f>""</f>
        <v/>
      </c>
      <c r="AV598" s="5" t="str">
        <f t="shared" ref="AV598:BF607" si="818">"х"</f>
        <v>х</v>
      </c>
      <c r="AW598" s="5" t="str">
        <f t="shared" si="818"/>
        <v>х</v>
      </c>
      <c r="AX598" s="5" t="str">
        <f t="shared" si="818"/>
        <v>х</v>
      </c>
      <c r="AY598" s="5" t="str">
        <f t="shared" si="818"/>
        <v>х</v>
      </c>
      <c r="AZ598" s="5" t="str">
        <f t="shared" si="818"/>
        <v>х</v>
      </c>
      <c r="BA598" s="5" t="str">
        <f t="shared" si="818"/>
        <v>х</v>
      </c>
      <c r="BB598" s="5" t="str">
        <f t="shared" si="818"/>
        <v>х</v>
      </c>
      <c r="BC598" s="5" t="str">
        <f t="shared" si="818"/>
        <v>х</v>
      </c>
      <c r="BD598" s="5" t="str">
        <f t="shared" si="818"/>
        <v>х</v>
      </c>
      <c r="BE598" s="5" t="str">
        <f t="shared" si="818"/>
        <v>х</v>
      </c>
      <c r="BF598" s="5" t="str">
        <f t="shared" si="818"/>
        <v>х</v>
      </c>
      <c r="BG598" s="5" t="str">
        <f>""</f>
        <v/>
      </c>
      <c r="BH598" s="5" t="str">
        <f>"52,00"</f>
        <v>52,00</v>
      </c>
      <c r="BI598" s="5" t="str">
        <f>"2020"</f>
        <v>2020</v>
      </c>
      <c r="BJ598" s="5" t="str">
        <f t="shared" si="814"/>
        <v>нет</v>
      </c>
      <c r="BK598" s="5" t="str">
        <f>""</f>
        <v/>
      </c>
      <c r="BL598" s="5" t="str">
        <f>""</f>
        <v/>
      </c>
      <c r="BM598" s="5" t="str">
        <f>""</f>
        <v/>
      </c>
      <c r="BN598" s="5" t="str">
        <f t="shared" si="815"/>
        <v>нет</v>
      </c>
      <c r="BO598" s="5" t="str">
        <f>""</f>
        <v/>
      </c>
      <c r="BP598" s="5" t="str">
        <f>""</f>
        <v/>
      </c>
      <c r="BQ598" s="5" t="str">
        <f>""</f>
        <v/>
      </c>
      <c r="BR598" s="5" t="str">
        <f>"2013"</f>
        <v>2013</v>
      </c>
      <c r="BS598" s="5" t="str">
        <f>"52,00"</f>
        <v>52,00</v>
      </c>
      <c r="BT598" s="5" t="str">
        <f>"2026"</f>
        <v>2026</v>
      </c>
      <c r="BU598" s="5" t="str">
        <f t="shared" si="796"/>
        <v>нет</v>
      </c>
      <c r="BV598" s="5" t="str">
        <f t="shared" si="808"/>
        <v>x</v>
      </c>
      <c r="BW598" s="5" t="str">
        <f t="shared" si="808"/>
        <v>x</v>
      </c>
      <c r="BX598" s="5" t="str">
        <f t="shared" si="808"/>
        <v>x</v>
      </c>
      <c r="BY598" s="5" t="str">
        <f t="shared" si="805"/>
        <v>нет</v>
      </c>
      <c r="BZ598" s="5" t="str">
        <f t="shared" ref="BZ598:CB617" si="819">"x"</f>
        <v>x</v>
      </c>
      <c r="CA598" s="5" t="str">
        <f t="shared" si="819"/>
        <v>x</v>
      </c>
      <c r="CB598" s="5" t="str">
        <f t="shared" si="819"/>
        <v>x</v>
      </c>
      <c r="CC598" s="5" t="str">
        <f>""</f>
        <v/>
      </c>
      <c r="CD598" s="5" t="str">
        <f>"52,00"</f>
        <v>52,00</v>
      </c>
      <c r="CE598" s="5" t="str">
        <f>"2019"</f>
        <v>2019</v>
      </c>
      <c r="CF598" s="5" t="str">
        <f>""</f>
        <v/>
      </c>
      <c r="CG598" s="5" t="str">
        <f>"52,00"</f>
        <v>52,00</v>
      </c>
      <c r="CH598" s="5" t="str">
        <f>"2019"</f>
        <v>2019</v>
      </c>
      <c r="CI598" s="5" t="str">
        <f>"52,00"</f>
        <v>52,00</v>
      </c>
      <c r="CJ598" s="5" t="str">
        <f>"2020"</f>
        <v>2020</v>
      </c>
    </row>
    <row r="599" spans="1:88" ht="11.25" customHeight="1">
      <c r="A599" s="3" t="str">
        <f>"1.586"</f>
        <v>1.586</v>
      </c>
      <c r="B599" s="4" t="str">
        <f>"пгт. Вохтога, ул. Строителей, д.3"</f>
        <v>пгт. Вохтога, ул. Строителей, д.3</v>
      </c>
      <c r="C599" s="7" t="str">
        <f t="shared" ref="C599:C606" si="820">"1974"</f>
        <v>1974</v>
      </c>
      <c r="D599" s="5" t="str">
        <f>""</f>
        <v/>
      </c>
      <c r="E599" s="5" t="str">
        <f>"53,00"</f>
        <v>53,00</v>
      </c>
      <c r="F599" s="5" t="str">
        <f>"2020"</f>
        <v>2020</v>
      </c>
      <c r="G599" s="5" t="str">
        <f t="shared" si="809"/>
        <v>нет</v>
      </c>
      <c r="H599" s="5" t="str">
        <f>""</f>
        <v/>
      </c>
      <c r="I599" s="5" t="str">
        <f>""</f>
        <v/>
      </c>
      <c r="J599" s="5" t="str">
        <f>""</f>
        <v/>
      </c>
      <c r="K599" s="5" t="str">
        <f t="shared" si="810"/>
        <v>нет</v>
      </c>
      <c r="L599" s="5" t="str">
        <f>""</f>
        <v/>
      </c>
      <c r="M599" s="5" t="str">
        <f>""</f>
        <v/>
      </c>
      <c r="N599" s="5" t="str">
        <f>""</f>
        <v/>
      </c>
      <c r="O599" s="8" t="str">
        <f>""</f>
        <v/>
      </c>
      <c r="P599" s="5" t="str">
        <f>"53,00"</f>
        <v>53,00</v>
      </c>
      <c r="Q599" s="5" t="str">
        <f>"2025"</f>
        <v>2025</v>
      </c>
      <c r="R599" s="5" t="str">
        <f t="shared" si="812"/>
        <v>нет</v>
      </c>
      <c r="S599" s="5" t="str">
        <f>""</f>
        <v/>
      </c>
      <c r="T599" s="5" t="str">
        <f>""</f>
        <v/>
      </c>
      <c r="U599" s="5" t="str">
        <f>""</f>
        <v/>
      </c>
      <c r="V599" s="5" t="str">
        <f t="shared" si="813"/>
        <v>нет</v>
      </c>
      <c r="W599" s="5" t="str">
        <f>""</f>
        <v/>
      </c>
      <c r="X599" s="5" t="str">
        <f>""</f>
        <v/>
      </c>
      <c r="Y599" s="9" t="str">
        <f>""</f>
        <v/>
      </c>
      <c r="Z599" s="5" t="str">
        <f>""</f>
        <v/>
      </c>
      <c r="AA599" s="5" t="str">
        <f>""</f>
        <v/>
      </c>
      <c r="AB599" s="5" t="str">
        <f>""</f>
        <v/>
      </c>
      <c r="AC599" s="5" t="str">
        <f>""</f>
        <v/>
      </c>
      <c r="AD599" s="5" t="str">
        <f>""</f>
        <v/>
      </c>
      <c r="AE599" s="5" t="str">
        <f>""</f>
        <v/>
      </c>
      <c r="AF599" s="5" t="str">
        <f>""</f>
        <v/>
      </c>
      <c r="AG599" s="5" t="str">
        <f>""</f>
        <v/>
      </c>
      <c r="AH599" s="5" t="str">
        <f>""</f>
        <v/>
      </c>
      <c r="AI599" s="5" t="str">
        <f>""</f>
        <v/>
      </c>
      <c r="AJ599" s="5" t="str">
        <f>""</f>
        <v/>
      </c>
      <c r="AK599" s="8" t="str">
        <f>""</f>
        <v/>
      </c>
      <c r="AL599" s="5" t="str">
        <f>"53,00"</f>
        <v>53,00</v>
      </c>
      <c r="AM599" s="5" t="str">
        <f>"2024"</f>
        <v>2024</v>
      </c>
      <c r="AN599" s="5" t="str">
        <f t="shared" ref="AN599:AN625" si="821">"нет"</f>
        <v>нет</v>
      </c>
      <c r="AO599" s="5" t="str">
        <f>""</f>
        <v/>
      </c>
      <c r="AP599" s="5" t="str">
        <f>""</f>
        <v/>
      </c>
      <c r="AQ599" s="5" t="str">
        <f>""</f>
        <v/>
      </c>
      <c r="AR599" s="5" t="str">
        <f t="shared" si="817"/>
        <v>нет</v>
      </c>
      <c r="AS599" s="5" t="str">
        <f>""</f>
        <v/>
      </c>
      <c r="AT599" s="5" t="str">
        <f>""</f>
        <v/>
      </c>
      <c r="AU599" s="5" t="str">
        <f>""</f>
        <v/>
      </c>
      <c r="AV599" s="5" t="str">
        <f t="shared" si="818"/>
        <v>х</v>
      </c>
      <c r="AW599" s="5" t="str">
        <f t="shared" si="818"/>
        <v>х</v>
      </c>
      <c r="AX599" s="5" t="str">
        <f t="shared" si="818"/>
        <v>х</v>
      </c>
      <c r="AY599" s="5" t="str">
        <f t="shared" si="818"/>
        <v>х</v>
      </c>
      <c r="AZ599" s="5" t="str">
        <f t="shared" si="818"/>
        <v>х</v>
      </c>
      <c r="BA599" s="5" t="str">
        <f t="shared" si="818"/>
        <v>х</v>
      </c>
      <c r="BB599" s="5" t="str">
        <f t="shared" si="818"/>
        <v>х</v>
      </c>
      <c r="BC599" s="5" t="str">
        <f t="shared" si="818"/>
        <v>х</v>
      </c>
      <c r="BD599" s="5" t="str">
        <f t="shared" si="818"/>
        <v>х</v>
      </c>
      <c r="BE599" s="5" t="str">
        <f t="shared" si="818"/>
        <v>х</v>
      </c>
      <c r="BF599" s="5" t="str">
        <f t="shared" si="818"/>
        <v>х</v>
      </c>
      <c r="BG599" s="5" t="str">
        <f>""</f>
        <v/>
      </c>
      <c r="BH599" s="5" t="str">
        <f>"53,00"</f>
        <v>53,00</v>
      </c>
      <c r="BI599" s="5" t="str">
        <f>"2020"</f>
        <v>2020</v>
      </c>
      <c r="BJ599" s="5" t="str">
        <f t="shared" si="814"/>
        <v>нет</v>
      </c>
      <c r="BK599" s="5" t="str">
        <f>""</f>
        <v/>
      </c>
      <c r="BL599" s="5" t="str">
        <f>""</f>
        <v/>
      </c>
      <c r="BM599" s="5" t="str">
        <f>""</f>
        <v/>
      </c>
      <c r="BN599" s="5" t="str">
        <f t="shared" si="815"/>
        <v>нет</v>
      </c>
      <c r="BO599" s="5" t="str">
        <f>""</f>
        <v/>
      </c>
      <c r="BP599" s="5" t="str">
        <f>""</f>
        <v/>
      </c>
      <c r="BQ599" s="5" t="str">
        <f>""</f>
        <v/>
      </c>
      <c r="BR599" s="5" t="str">
        <f>""</f>
        <v/>
      </c>
      <c r="BS599" s="5" t="str">
        <f>"53,00"</f>
        <v>53,00</v>
      </c>
      <c r="BT599" s="5" t="str">
        <f>"2027"</f>
        <v>2027</v>
      </c>
      <c r="BU599" s="5" t="str">
        <f t="shared" si="796"/>
        <v>нет</v>
      </c>
      <c r="BV599" s="5" t="str">
        <f t="shared" si="808"/>
        <v>x</v>
      </c>
      <c r="BW599" s="5" t="str">
        <f t="shared" si="808"/>
        <v>x</v>
      </c>
      <c r="BX599" s="5" t="str">
        <f t="shared" si="808"/>
        <v>x</v>
      </c>
      <c r="BY599" s="5" t="str">
        <f t="shared" si="805"/>
        <v>нет</v>
      </c>
      <c r="BZ599" s="5" t="str">
        <f t="shared" si="819"/>
        <v>x</v>
      </c>
      <c r="CA599" s="5" t="str">
        <f t="shared" si="819"/>
        <v>x</v>
      </c>
      <c r="CB599" s="5" t="str">
        <f t="shared" si="819"/>
        <v>x</v>
      </c>
      <c r="CC599" s="5" t="str">
        <f>""</f>
        <v/>
      </c>
      <c r="CD599" s="5" t="str">
        <f>"53,00"</f>
        <v>53,00</v>
      </c>
      <c r="CE599" s="5" t="str">
        <f>"2019"</f>
        <v>2019</v>
      </c>
      <c r="CF599" s="5" t="str">
        <f>""</f>
        <v/>
      </c>
      <c r="CG599" s="5" t="str">
        <f>"53,00"</f>
        <v>53,00</v>
      </c>
      <c r="CH599" s="5" t="str">
        <f>"2019"</f>
        <v>2019</v>
      </c>
      <c r="CI599" s="5" t="str">
        <f>"53,00"</f>
        <v>53,00</v>
      </c>
      <c r="CJ599" s="5" t="str">
        <f>"2019"</f>
        <v>2019</v>
      </c>
    </row>
    <row r="600" spans="1:88" ht="11.25" customHeight="1">
      <c r="A600" s="3" t="str">
        <f>"1.587"</f>
        <v>1.587</v>
      </c>
      <c r="B600" s="4" t="str">
        <f>"пгт. Вохтога, ул. Строителей, д.3а"</f>
        <v>пгт. Вохтога, ул. Строителей, д.3а</v>
      </c>
      <c r="C600" s="7" t="str">
        <f t="shared" si="820"/>
        <v>1974</v>
      </c>
      <c r="D600" s="5" t="str">
        <f>""</f>
        <v/>
      </c>
      <c r="E600" s="5" t="str">
        <f>"53,00"</f>
        <v>53,00</v>
      </c>
      <c r="F600" s="5" t="str">
        <f>"2020"</f>
        <v>2020</v>
      </c>
      <c r="G600" s="5" t="str">
        <f t="shared" si="809"/>
        <v>нет</v>
      </c>
      <c r="H600" s="5" t="str">
        <f>""</f>
        <v/>
      </c>
      <c r="I600" s="5" t="str">
        <f>""</f>
        <v/>
      </c>
      <c r="J600" s="5" t="str">
        <f>""</f>
        <v/>
      </c>
      <c r="K600" s="5" t="str">
        <f t="shared" si="810"/>
        <v>нет</v>
      </c>
      <c r="L600" s="5" t="str">
        <f>""</f>
        <v/>
      </c>
      <c r="M600" s="5" t="str">
        <f>""</f>
        <v/>
      </c>
      <c r="N600" s="5" t="str">
        <f>""</f>
        <v/>
      </c>
      <c r="O600" s="8" t="str">
        <f>""</f>
        <v/>
      </c>
      <c r="P600" s="5" t="str">
        <f>"53,00"</f>
        <v>53,00</v>
      </c>
      <c r="Q600" s="5" t="str">
        <f>"2027"</f>
        <v>2027</v>
      </c>
      <c r="R600" s="5" t="str">
        <f t="shared" si="812"/>
        <v>нет</v>
      </c>
      <c r="S600" s="5" t="str">
        <f>""</f>
        <v/>
      </c>
      <c r="T600" s="5" t="str">
        <f>""</f>
        <v/>
      </c>
      <c r="U600" s="5" t="str">
        <f>""</f>
        <v/>
      </c>
      <c r="V600" s="5" t="str">
        <f t="shared" si="813"/>
        <v>нет</v>
      </c>
      <c r="W600" s="5" t="str">
        <f>""</f>
        <v/>
      </c>
      <c r="X600" s="5" t="str">
        <f>""</f>
        <v/>
      </c>
      <c r="Y600" s="9" t="str">
        <f>""</f>
        <v/>
      </c>
      <c r="Z600" s="5" t="str">
        <f>""</f>
        <v/>
      </c>
      <c r="AA600" s="5" t="str">
        <f>""</f>
        <v/>
      </c>
      <c r="AB600" s="5" t="str">
        <f>""</f>
        <v/>
      </c>
      <c r="AC600" s="5" t="str">
        <f>""</f>
        <v/>
      </c>
      <c r="AD600" s="5" t="str">
        <f>""</f>
        <v/>
      </c>
      <c r="AE600" s="5" t="str">
        <f>""</f>
        <v/>
      </c>
      <c r="AF600" s="5" t="str">
        <f>""</f>
        <v/>
      </c>
      <c r="AG600" s="5" t="str">
        <f>""</f>
        <v/>
      </c>
      <c r="AH600" s="5" t="str">
        <f>""</f>
        <v/>
      </c>
      <c r="AI600" s="5" t="str">
        <f>""</f>
        <v/>
      </c>
      <c r="AJ600" s="5" t="str">
        <f>""</f>
        <v/>
      </c>
      <c r="AK600" s="8" t="str">
        <f>""</f>
        <v/>
      </c>
      <c r="AL600" s="5" t="str">
        <f>"53,00"</f>
        <v>53,00</v>
      </c>
      <c r="AM600" s="5" t="str">
        <f>"2020"</f>
        <v>2020</v>
      </c>
      <c r="AN600" s="5" t="str">
        <f t="shared" si="821"/>
        <v>нет</v>
      </c>
      <c r="AO600" s="5" t="str">
        <f>""</f>
        <v/>
      </c>
      <c r="AP600" s="5" t="str">
        <f>""</f>
        <v/>
      </c>
      <c r="AQ600" s="5" t="str">
        <f>""</f>
        <v/>
      </c>
      <c r="AR600" s="5" t="str">
        <f t="shared" si="817"/>
        <v>нет</v>
      </c>
      <c r="AS600" s="5" t="str">
        <f>""</f>
        <v/>
      </c>
      <c r="AT600" s="5" t="str">
        <f>""</f>
        <v/>
      </c>
      <c r="AU600" s="5" t="str">
        <f>""</f>
        <v/>
      </c>
      <c r="AV600" s="5" t="str">
        <f t="shared" si="818"/>
        <v>х</v>
      </c>
      <c r="AW600" s="5" t="str">
        <f t="shared" si="818"/>
        <v>х</v>
      </c>
      <c r="AX600" s="5" t="str">
        <f t="shared" si="818"/>
        <v>х</v>
      </c>
      <c r="AY600" s="5" t="str">
        <f t="shared" si="818"/>
        <v>х</v>
      </c>
      <c r="AZ600" s="5" t="str">
        <f t="shared" si="818"/>
        <v>х</v>
      </c>
      <c r="BA600" s="5" t="str">
        <f t="shared" si="818"/>
        <v>х</v>
      </c>
      <c r="BB600" s="5" t="str">
        <f t="shared" si="818"/>
        <v>х</v>
      </c>
      <c r="BC600" s="5" t="str">
        <f t="shared" si="818"/>
        <v>х</v>
      </c>
      <c r="BD600" s="5" t="str">
        <f t="shared" si="818"/>
        <v>х</v>
      </c>
      <c r="BE600" s="5" t="str">
        <f t="shared" si="818"/>
        <v>х</v>
      </c>
      <c r="BF600" s="5" t="str">
        <f t="shared" si="818"/>
        <v>х</v>
      </c>
      <c r="BG600" s="5" t="str">
        <f>""</f>
        <v/>
      </c>
      <c r="BH600" s="5" t="str">
        <f>"53,00"</f>
        <v>53,00</v>
      </c>
      <c r="BI600" s="5" t="str">
        <f>"2020"</f>
        <v>2020</v>
      </c>
      <c r="BJ600" s="5" t="str">
        <f t="shared" si="814"/>
        <v>нет</v>
      </c>
      <c r="BK600" s="5" t="str">
        <f>""</f>
        <v/>
      </c>
      <c r="BL600" s="5" t="str">
        <f>""</f>
        <v/>
      </c>
      <c r="BM600" s="5" t="str">
        <f>""</f>
        <v/>
      </c>
      <c r="BN600" s="5" t="str">
        <f t="shared" si="815"/>
        <v>нет</v>
      </c>
      <c r="BO600" s="5" t="str">
        <f>""</f>
        <v/>
      </c>
      <c r="BP600" s="5" t="str">
        <f>""</f>
        <v/>
      </c>
      <c r="BQ600" s="5" t="str">
        <f>""</f>
        <v/>
      </c>
      <c r="BR600" s="5" t="str">
        <f>""</f>
        <v/>
      </c>
      <c r="BS600" s="5" t="str">
        <f>"53,00"</f>
        <v>53,00</v>
      </c>
      <c r="BT600" s="5" t="str">
        <f>"2020"</f>
        <v>2020</v>
      </c>
      <c r="BU600" s="5" t="str">
        <f t="shared" si="796"/>
        <v>нет</v>
      </c>
      <c r="BV600" s="5" t="str">
        <f t="shared" ref="BV600:BX619" si="822">"x"</f>
        <v>x</v>
      </c>
      <c r="BW600" s="5" t="str">
        <f t="shared" si="822"/>
        <v>x</v>
      </c>
      <c r="BX600" s="5" t="str">
        <f t="shared" si="822"/>
        <v>x</v>
      </c>
      <c r="BY600" s="5" t="str">
        <f t="shared" si="805"/>
        <v>нет</v>
      </c>
      <c r="BZ600" s="5" t="str">
        <f t="shared" si="819"/>
        <v>x</v>
      </c>
      <c r="CA600" s="5" t="str">
        <f t="shared" si="819"/>
        <v>x</v>
      </c>
      <c r="CB600" s="5" t="str">
        <f t="shared" si="819"/>
        <v>x</v>
      </c>
      <c r="CC600" s="5" t="str">
        <f>""</f>
        <v/>
      </c>
      <c r="CD600" s="5" t="str">
        <f>"53,00"</f>
        <v>53,00</v>
      </c>
      <c r="CE600" s="5" t="str">
        <f>"2020"</f>
        <v>2020</v>
      </c>
      <c r="CF600" s="5" t="str">
        <f>""</f>
        <v/>
      </c>
      <c r="CG600" s="5" t="str">
        <f>"53,00"</f>
        <v>53,00</v>
      </c>
      <c r="CH600" s="5" t="str">
        <f>"2020"</f>
        <v>2020</v>
      </c>
      <c r="CI600" s="5" t="str">
        <f>"53,00"</f>
        <v>53,00</v>
      </c>
      <c r="CJ600" s="5" t="str">
        <f>"2021"</f>
        <v>2021</v>
      </c>
    </row>
    <row r="601" spans="1:88" ht="11.25" customHeight="1">
      <c r="A601" s="3" t="str">
        <f>"1.588"</f>
        <v>1.588</v>
      </c>
      <c r="B601" s="4" t="str">
        <f>"пгт. Вохтога, ул. Строителей, д.4"</f>
        <v>пгт. Вохтога, ул. Строителей, д.4</v>
      </c>
      <c r="C601" s="7" t="str">
        <f t="shared" si="820"/>
        <v>1974</v>
      </c>
      <c r="D601" s="5" t="str">
        <f>""</f>
        <v/>
      </c>
      <c r="E601" s="5" t="str">
        <f>"61,00"</f>
        <v>61,00</v>
      </c>
      <c r="F601" s="5" t="str">
        <f>"2020"</f>
        <v>2020</v>
      </c>
      <c r="G601" s="5" t="str">
        <f t="shared" si="809"/>
        <v>нет</v>
      </c>
      <c r="H601" s="5" t="str">
        <f>""</f>
        <v/>
      </c>
      <c r="I601" s="5" t="str">
        <f>""</f>
        <v/>
      </c>
      <c r="J601" s="5" t="str">
        <f>""</f>
        <v/>
      </c>
      <c r="K601" s="5" t="str">
        <f t="shared" si="810"/>
        <v>нет</v>
      </c>
      <c r="L601" s="5" t="str">
        <f>""</f>
        <v/>
      </c>
      <c r="M601" s="5" t="str">
        <f>""</f>
        <v/>
      </c>
      <c r="N601" s="5" t="str">
        <f>""</f>
        <v/>
      </c>
      <c r="O601" s="8" t="str">
        <f>""</f>
        <v/>
      </c>
      <c r="P601" s="5" t="str">
        <f>"61,00"</f>
        <v>61,00</v>
      </c>
      <c r="Q601" s="5" t="str">
        <f>"2020"</f>
        <v>2020</v>
      </c>
      <c r="R601" s="5" t="str">
        <f t="shared" si="812"/>
        <v>нет</v>
      </c>
      <c r="S601" s="5" t="str">
        <f>""</f>
        <v/>
      </c>
      <c r="T601" s="5" t="str">
        <f>""</f>
        <v/>
      </c>
      <c r="U601" s="5" t="str">
        <f>""</f>
        <v/>
      </c>
      <c r="V601" s="5" t="str">
        <f t="shared" si="813"/>
        <v>нет</v>
      </c>
      <c r="W601" s="5" t="str">
        <f>""</f>
        <v/>
      </c>
      <c r="X601" s="5" t="str">
        <f>""</f>
        <v/>
      </c>
      <c r="Y601" s="9" t="str">
        <f>""</f>
        <v/>
      </c>
      <c r="Z601" s="5" t="str">
        <f>""</f>
        <v/>
      </c>
      <c r="AA601" s="5" t="str">
        <f>""</f>
        <v/>
      </c>
      <c r="AB601" s="5" t="str">
        <f>""</f>
        <v/>
      </c>
      <c r="AC601" s="5" t="str">
        <f>""</f>
        <v/>
      </c>
      <c r="AD601" s="5" t="str">
        <f>""</f>
        <v/>
      </c>
      <c r="AE601" s="5" t="str">
        <f>""</f>
        <v/>
      </c>
      <c r="AF601" s="5" t="str">
        <f>""</f>
        <v/>
      </c>
      <c r="AG601" s="5" t="str">
        <f>""</f>
        <v/>
      </c>
      <c r="AH601" s="5" t="str">
        <f>""</f>
        <v/>
      </c>
      <c r="AI601" s="5" t="str">
        <f>""</f>
        <v/>
      </c>
      <c r="AJ601" s="5" t="str">
        <f>""</f>
        <v/>
      </c>
      <c r="AK601" s="8" t="str">
        <f>""</f>
        <v/>
      </c>
      <c r="AL601" s="5" t="str">
        <f>"61,00"</f>
        <v>61,00</v>
      </c>
      <c r="AM601" s="5" t="str">
        <f>"2020"</f>
        <v>2020</v>
      </c>
      <c r="AN601" s="5" t="str">
        <f t="shared" si="821"/>
        <v>нет</v>
      </c>
      <c r="AO601" s="5" t="str">
        <f>""</f>
        <v/>
      </c>
      <c r="AP601" s="5" t="str">
        <f>""</f>
        <v/>
      </c>
      <c r="AQ601" s="5" t="str">
        <f>""</f>
        <v/>
      </c>
      <c r="AR601" s="5" t="str">
        <f t="shared" si="817"/>
        <v>нет</v>
      </c>
      <c r="AS601" s="5" t="str">
        <f>""</f>
        <v/>
      </c>
      <c r="AT601" s="5" t="str">
        <f>""</f>
        <v/>
      </c>
      <c r="AU601" s="5" t="str">
        <f>""</f>
        <v/>
      </c>
      <c r="AV601" s="5" t="str">
        <f t="shared" si="818"/>
        <v>х</v>
      </c>
      <c r="AW601" s="5" t="str">
        <f t="shared" si="818"/>
        <v>х</v>
      </c>
      <c r="AX601" s="5" t="str">
        <f t="shared" si="818"/>
        <v>х</v>
      </c>
      <c r="AY601" s="5" t="str">
        <f t="shared" si="818"/>
        <v>х</v>
      </c>
      <c r="AZ601" s="5" t="str">
        <f t="shared" si="818"/>
        <v>х</v>
      </c>
      <c r="BA601" s="5" t="str">
        <f t="shared" si="818"/>
        <v>х</v>
      </c>
      <c r="BB601" s="5" t="str">
        <f t="shared" si="818"/>
        <v>х</v>
      </c>
      <c r="BC601" s="5" t="str">
        <f t="shared" si="818"/>
        <v>х</v>
      </c>
      <c r="BD601" s="5" t="str">
        <f t="shared" si="818"/>
        <v>х</v>
      </c>
      <c r="BE601" s="5" t="str">
        <f t="shared" si="818"/>
        <v>х</v>
      </c>
      <c r="BF601" s="5" t="str">
        <f t="shared" si="818"/>
        <v>х</v>
      </c>
      <c r="BG601" s="5" t="str">
        <f>""</f>
        <v/>
      </c>
      <c r="BH601" s="5" t="str">
        <f>"61,00"</f>
        <v>61,00</v>
      </c>
      <c r="BI601" s="5" t="str">
        <f>"2020"</f>
        <v>2020</v>
      </c>
      <c r="BJ601" s="5" t="str">
        <f t="shared" si="814"/>
        <v>нет</v>
      </c>
      <c r="BK601" s="5" t="str">
        <f>""</f>
        <v/>
      </c>
      <c r="BL601" s="5" t="str">
        <f>""</f>
        <v/>
      </c>
      <c r="BM601" s="5" t="str">
        <f>""</f>
        <v/>
      </c>
      <c r="BN601" s="5" t="str">
        <f t="shared" si="815"/>
        <v>нет</v>
      </c>
      <c r="BO601" s="5" t="str">
        <f>""</f>
        <v/>
      </c>
      <c r="BP601" s="5" t="str">
        <f>""</f>
        <v/>
      </c>
      <c r="BQ601" s="5" t="str">
        <f>""</f>
        <v/>
      </c>
      <c r="BR601" s="5" t="str">
        <f>""</f>
        <v/>
      </c>
      <c r="BS601" s="5" t="str">
        <f>"61,00"</f>
        <v>61,00</v>
      </c>
      <c r="BT601" s="5" t="str">
        <f>"2020"</f>
        <v>2020</v>
      </c>
      <c r="BU601" s="5" t="str">
        <f t="shared" si="796"/>
        <v>нет</v>
      </c>
      <c r="BV601" s="5" t="str">
        <f t="shared" si="822"/>
        <v>x</v>
      </c>
      <c r="BW601" s="5" t="str">
        <f t="shared" si="822"/>
        <v>x</v>
      </c>
      <c r="BX601" s="5" t="str">
        <f t="shared" si="822"/>
        <v>x</v>
      </c>
      <c r="BY601" s="5" t="str">
        <f t="shared" si="805"/>
        <v>нет</v>
      </c>
      <c r="BZ601" s="5" t="str">
        <f t="shared" si="819"/>
        <v>x</v>
      </c>
      <c r="CA601" s="5" t="str">
        <f t="shared" si="819"/>
        <v>x</v>
      </c>
      <c r="CB601" s="5" t="str">
        <f t="shared" si="819"/>
        <v>x</v>
      </c>
      <c r="CC601" s="5" t="str">
        <f>""</f>
        <v/>
      </c>
      <c r="CD601" s="5" t="str">
        <f>"61,00"</f>
        <v>61,00</v>
      </c>
      <c r="CE601" s="5" t="str">
        <f>"2020"</f>
        <v>2020</v>
      </c>
      <c r="CF601" s="5" t="str">
        <f>""</f>
        <v/>
      </c>
      <c r="CG601" s="5" t="str">
        <f>"61,00"</f>
        <v>61,00</v>
      </c>
      <c r="CH601" s="5" t="str">
        <f>"2020"</f>
        <v>2020</v>
      </c>
      <c r="CI601" s="5" t="str">
        <f>"61,00"</f>
        <v>61,00</v>
      </c>
      <c r="CJ601" s="5" t="str">
        <f>"2020"</f>
        <v>2020</v>
      </c>
    </row>
    <row r="602" spans="1:88" ht="11.25" customHeight="1">
      <c r="A602" s="3" t="str">
        <f>"1.589"</f>
        <v>1.589</v>
      </c>
      <c r="B602" s="4" t="str">
        <f>"пгт. Вохтога, ул. Строителей, д.5"</f>
        <v>пгт. Вохтога, ул. Строителей, д.5</v>
      </c>
      <c r="C602" s="7" t="str">
        <f t="shared" si="820"/>
        <v>1974</v>
      </c>
      <c r="D602" s="5" t="str">
        <f>""</f>
        <v/>
      </c>
      <c r="E602" s="5" t="str">
        <f>"56,00"</f>
        <v>56,00</v>
      </c>
      <c r="F602" s="5" t="str">
        <f>"2025"</f>
        <v>2025</v>
      </c>
      <c r="G602" s="5" t="str">
        <f t="shared" si="809"/>
        <v>нет</v>
      </c>
      <c r="H602" s="5" t="str">
        <f>""</f>
        <v/>
      </c>
      <c r="I602" s="5" t="str">
        <f>""</f>
        <v/>
      </c>
      <c r="J602" s="5" t="str">
        <f>""</f>
        <v/>
      </c>
      <c r="K602" s="5" t="str">
        <f t="shared" si="810"/>
        <v>нет</v>
      </c>
      <c r="L602" s="5" t="str">
        <f>""</f>
        <v/>
      </c>
      <c r="M602" s="5" t="str">
        <f>""</f>
        <v/>
      </c>
      <c r="N602" s="5" t="str">
        <f>""</f>
        <v/>
      </c>
      <c r="O602" s="8" t="str">
        <f>""</f>
        <v/>
      </c>
      <c r="P602" s="5" t="str">
        <f>"56,00"</f>
        <v>56,00</v>
      </c>
      <c r="Q602" s="5" t="str">
        <f>"2025"</f>
        <v>2025</v>
      </c>
      <c r="R602" s="5" t="str">
        <f t="shared" si="812"/>
        <v>нет</v>
      </c>
      <c r="S602" s="5" t="str">
        <f>""</f>
        <v/>
      </c>
      <c r="T602" s="5" t="str">
        <f>""</f>
        <v/>
      </c>
      <c r="U602" s="5" t="str">
        <f>""</f>
        <v/>
      </c>
      <c r="V602" s="5" t="str">
        <f t="shared" si="813"/>
        <v>нет</v>
      </c>
      <c r="W602" s="5" t="str">
        <f>""</f>
        <v/>
      </c>
      <c r="X602" s="5" t="str">
        <f>""</f>
        <v/>
      </c>
      <c r="Y602" s="9" t="str">
        <f>""</f>
        <v/>
      </c>
      <c r="Z602" s="5" t="str">
        <f>""</f>
        <v/>
      </c>
      <c r="AA602" s="5" t="str">
        <f>""</f>
        <v/>
      </c>
      <c r="AB602" s="5" t="str">
        <f>""</f>
        <v/>
      </c>
      <c r="AC602" s="5" t="str">
        <f>""</f>
        <v/>
      </c>
      <c r="AD602" s="5" t="str">
        <f>""</f>
        <v/>
      </c>
      <c r="AE602" s="5" t="str">
        <f>""</f>
        <v/>
      </c>
      <c r="AF602" s="5" t="str">
        <f>""</f>
        <v/>
      </c>
      <c r="AG602" s="5" t="str">
        <f>""</f>
        <v/>
      </c>
      <c r="AH602" s="5" t="str">
        <f>""</f>
        <v/>
      </c>
      <c r="AI602" s="5" t="str">
        <f>""</f>
        <v/>
      </c>
      <c r="AJ602" s="5" t="str">
        <f>""</f>
        <v/>
      </c>
      <c r="AK602" s="8" t="str">
        <f>""</f>
        <v/>
      </c>
      <c r="AL602" s="5" t="str">
        <f>"56,00"</f>
        <v>56,00</v>
      </c>
      <c r="AM602" s="5" t="str">
        <f>"2025"</f>
        <v>2025</v>
      </c>
      <c r="AN602" s="5" t="str">
        <f t="shared" si="821"/>
        <v>нет</v>
      </c>
      <c r="AO602" s="5" t="str">
        <f>""</f>
        <v/>
      </c>
      <c r="AP602" s="5" t="str">
        <f>""</f>
        <v/>
      </c>
      <c r="AQ602" s="5" t="str">
        <f>""</f>
        <v/>
      </c>
      <c r="AR602" s="5" t="str">
        <f t="shared" si="817"/>
        <v>нет</v>
      </c>
      <c r="AS602" s="5" t="str">
        <f>""</f>
        <v/>
      </c>
      <c r="AT602" s="5" t="str">
        <f>""</f>
        <v/>
      </c>
      <c r="AU602" s="5" t="str">
        <f>""</f>
        <v/>
      </c>
      <c r="AV602" s="5" t="str">
        <f t="shared" si="818"/>
        <v>х</v>
      </c>
      <c r="AW602" s="5" t="str">
        <f t="shared" si="818"/>
        <v>х</v>
      </c>
      <c r="AX602" s="5" t="str">
        <f t="shared" si="818"/>
        <v>х</v>
      </c>
      <c r="AY602" s="5" t="str">
        <f t="shared" si="818"/>
        <v>х</v>
      </c>
      <c r="AZ602" s="5" t="str">
        <f t="shared" si="818"/>
        <v>х</v>
      </c>
      <c r="BA602" s="5" t="str">
        <f t="shared" si="818"/>
        <v>х</v>
      </c>
      <c r="BB602" s="5" t="str">
        <f t="shared" si="818"/>
        <v>х</v>
      </c>
      <c r="BC602" s="5" t="str">
        <f t="shared" si="818"/>
        <v>х</v>
      </c>
      <c r="BD602" s="5" t="str">
        <f t="shared" si="818"/>
        <v>х</v>
      </c>
      <c r="BE602" s="5" t="str">
        <f t="shared" si="818"/>
        <v>х</v>
      </c>
      <c r="BF602" s="5" t="str">
        <f t="shared" si="818"/>
        <v>х</v>
      </c>
      <c r="BG602" s="5" t="str">
        <f>""</f>
        <v/>
      </c>
      <c r="BH602" s="5" t="str">
        <f>"56,00"</f>
        <v>56,00</v>
      </c>
      <c r="BI602" s="5" t="str">
        <f>"2025"</f>
        <v>2025</v>
      </c>
      <c r="BJ602" s="5" t="str">
        <f t="shared" si="814"/>
        <v>нет</v>
      </c>
      <c r="BK602" s="5" t="str">
        <f>""</f>
        <v/>
      </c>
      <c r="BL602" s="5" t="str">
        <f>""</f>
        <v/>
      </c>
      <c r="BM602" s="5" t="str">
        <f>""</f>
        <v/>
      </c>
      <c r="BN602" s="5" t="str">
        <f t="shared" si="815"/>
        <v>нет</v>
      </c>
      <c r="BO602" s="5" t="str">
        <f>""</f>
        <v/>
      </c>
      <c r="BP602" s="5" t="str">
        <f>""</f>
        <v/>
      </c>
      <c r="BQ602" s="5" t="str">
        <f>""</f>
        <v/>
      </c>
      <c r="BR602" s="5" t="str">
        <f>""</f>
        <v/>
      </c>
      <c r="BS602" s="5" t="str">
        <f>"56,00"</f>
        <v>56,00</v>
      </c>
      <c r="BT602" s="5" t="str">
        <f>"2025"</f>
        <v>2025</v>
      </c>
      <c r="BU602" s="5" t="str">
        <f t="shared" si="796"/>
        <v>нет</v>
      </c>
      <c r="BV602" s="5" t="str">
        <f t="shared" si="822"/>
        <v>x</v>
      </c>
      <c r="BW602" s="5" t="str">
        <f t="shared" si="822"/>
        <v>x</v>
      </c>
      <c r="BX602" s="5" t="str">
        <f t="shared" si="822"/>
        <v>x</v>
      </c>
      <c r="BY602" s="5" t="str">
        <f t="shared" ref="BY602:BY623" si="823">"нет"</f>
        <v>нет</v>
      </c>
      <c r="BZ602" s="5" t="str">
        <f t="shared" si="819"/>
        <v>x</v>
      </c>
      <c r="CA602" s="5" t="str">
        <f t="shared" si="819"/>
        <v>x</v>
      </c>
      <c r="CB602" s="5" t="str">
        <f t="shared" si="819"/>
        <v>x</v>
      </c>
      <c r="CC602" s="5" t="str">
        <f>""</f>
        <v/>
      </c>
      <c r="CD602" s="5" t="str">
        <f>"56,00"</f>
        <v>56,00</v>
      </c>
      <c r="CE602" s="5" t="str">
        <f>"2025"</f>
        <v>2025</v>
      </c>
      <c r="CF602" s="5" t="str">
        <f>""</f>
        <v/>
      </c>
      <c r="CG602" s="5" t="str">
        <f>"56,00"</f>
        <v>56,00</v>
      </c>
      <c r="CH602" s="5" t="str">
        <f>"2025"</f>
        <v>2025</v>
      </c>
      <c r="CI602" s="5" t="str">
        <f>"56,00"</f>
        <v>56,00</v>
      </c>
      <c r="CJ602" s="5" t="str">
        <f>"2025"</f>
        <v>2025</v>
      </c>
    </row>
    <row r="603" spans="1:88" ht="11.25" customHeight="1">
      <c r="A603" s="3" t="str">
        <f>"1.590"</f>
        <v>1.590</v>
      </c>
      <c r="B603" s="4" t="str">
        <f>"пгт. Вохтога, ул. Строителей, д.6"</f>
        <v>пгт. Вохтога, ул. Строителей, д.6</v>
      </c>
      <c r="C603" s="7" t="str">
        <f t="shared" si="820"/>
        <v>1974</v>
      </c>
      <c r="D603" s="5" t="str">
        <f>""</f>
        <v/>
      </c>
      <c r="E603" s="5" t="str">
        <f>"60,00"</f>
        <v>60,00</v>
      </c>
      <c r="F603" s="5" t="str">
        <f>"2019"</f>
        <v>2019</v>
      </c>
      <c r="G603" s="5" t="str">
        <f t="shared" si="809"/>
        <v>нет</v>
      </c>
      <c r="H603" s="5" t="str">
        <f>""</f>
        <v/>
      </c>
      <c r="I603" s="5" t="str">
        <f>""</f>
        <v/>
      </c>
      <c r="J603" s="5" t="str">
        <f>""</f>
        <v/>
      </c>
      <c r="K603" s="5" t="str">
        <f t="shared" si="810"/>
        <v>нет</v>
      </c>
      <c r="L603" s="5" t="str">
        <f>""</f>
        <v/>
      </c>
      <c r="M603" s="5" t="str">
        <f>""</f>
        <v/>
      </c>
      <c r="N603" s="5" t="str">
        <f>""</f>
        <v/>
      </c>
      <c r="O603" s="8" t="str">
        <f>""</f>
        <v/>
      </c>
      <c r="P603" s="5" t="str">
        <f>"60,00"</f>
        <v>60,00</v>
      </c>
      <c r="Q603" s="5" t="str">
        <f>"2019"</f>
        <v>2019</v>
      </c>
      <c r="R603" s="5" t="str">
        <f t="shared" si="812"/>
        <v>нет</v>
      </c>
      <c r="S603" s="5" t="str">
        <f>""</f>
        <v/>
      </c>
      <c r="T603" s="5" t="str">
        <f>""</f>
        <v/>
      </c>
      <c r="U603" s="5" t="str">
        <f>""</f>
        <v/>
      </c>
      <c r="V603" s="5" t="str">
        <f t="shared" si="813"/>
        <v>нет</v>
      </c>
      <c r="W603" s="5" t="str">
        <f>""</f>
        <v/>
      </c>
      <c r="X603" s="5" t="str">
        <f>""</f>
        <v/>
      </c>
      <c r="Y603" s="9" t="str">
        <f>""</f>
        <v/>
      </c>
      <c r="Z603" s="5" t="str">
        <f>""</f>
        <v/>
      </c>
      <c r="AA603" s="5" t="str">
        <f>""</f>
        <v/>
      </c>
      <c r="AB603" s="5" t="str">
        <f>""</f>
        <v/>
      </c>
      <c r="AC603" s="5" t="str">
        <f>""</f>
        <v/>
      </c>
      <c r="AD603" s="5" t="str">
        <f>""</f>
        <v/>
      </c>
      <c r="AE603" s="5" t="str">
        <f>""</f>
        <v/>
      </c>
      <c r="AF603" s="5" t="str">
        <f>""</f>
        <v/>
      </c>
      <c r="AG603" s="5" t="str">
        <f>""</f>
        <v/>
      </c>
      <c r="AH603" s="5" t="str">
        <f>""</f>
        <v/>
      </c>
      <c r="AI603" s="5" t="str">
        <f>""</f>
        <v/>
      </c>
      <c r="AJ603" s="5" t="str">
        <f>""</f>
        <v/>
      </c>
      <c r="AK603" s="8" t="str">
        <f>""</f>
        <v/>
      </c>
      <c r="AL603" s="5" t="str">
        <f>"60,00"</f>
        <v>60,00</v>
      </c>
      <c r="AM603" s="5" t="str">
        <f>"2019"</f>
        <v>2019</v>
      </c>
      <c r="AN603" s="5" t="str">
        <f t="shared" si="821"/>
        <v>нет</v>
      </c>
      <c r="AO603" s="5" t="str">
        <f>""</f>
        <v/>
      </c>
      <c r="AP603" s="5" t="str">
        <f>""</f>
        <v/>
      </c>
      <c r="AQ603" s="5" t="str">
        <f>""</f>
        <v/>
      </c>
      <c r="AR603" s="5" t="str">
        <f t="shared" si="817"/>
        <v>нет</v>
      </c>
      <c r="AS603" s="5" t="str">
        <f>""</f>
        <v/>
      </c>
      <c r="AT603" s="5" t="str">
        <f>""</f>
        <v/>
      </c>
      <c r="AU603" s="5" t="str">
        <f>""</f>
        <v/>
      </c>
      <c r="AV603" s="5" t="str">
        <f t="shared" si="818"/>
        <v>х</v>
      </c>
      <c r="AW603" s="5" t="str">
        <f t="shared" si="818"/>
        <v>х</v>
      </c>
      <c r="AX603" s="5" t="str">
        <f t="shared" si="818"/>
        <v>х</v>
      </c>
      <c r="AY603" s="5" t="str">
        <f t="shared" si="818"/>
        <v>х</v>
      </c>
      <c r="AZ603" s="5" t="str">
        <f t="shared" si="818"/>
        <v>х</v>
      </c>
      <c r="BA603" s="5" t="str">
        <f t="shared" si="818"/>
        <v>х</v>
      </c>
      <c r="BB603" s="5" t="str">
        <f t="shared" si="818"/>
        <v>х</v>
      </c>
      <c r="BC603" s="5" t="str">
        <f t="shared" si="818"/>
        <v>х</v>
      </c>
      <c r="BD603" s="5" t="str">
        <f t="shared" si="818"/>
        <v>х</v>
      </c>
      <c r="BE603" s="5" t="str">
        <f t="shared" si="818"/>
        <v>х</v>
      </c>
      <c r="BF603" s="5" t="str">
        <f t="shared" si="818"/>
        <v>х</v>
      </c>
      <c r="BG603" s="5" t="str">
        <f>""</f>
        <v/>
      </c>
      <c r="BH603" s="5" t="str">
        <f>"60,00"</f>
        <v>60,00</v>
      </c>
      <c r="BI603" s="5" t="str">
        <f>"2019"</f>
        <v>2019</v>
      </c>
      <c r="BJ603" s="5" t="str">
        <f t="shared" si="814"/>
        <v>нет</v>
      </c>
      <c r="BK603" s="5" t="str">
        <f>""</f>
        <v/>
      </c>
      <c r="BL603" s="5" t="str">
        <f>""</f>
        <v/>
      </c>
      <c r="BM603" s="5" t="str">
        <f>""</f>
        <v/>
      </c>
      <c r="BN603" s="5" t="str">
        <f t="shared" si="815"/>
        <v>нет</v>
      </c>
      <c r="BO603" s="5" t="str">
        <f>""</f>
        <v/>
      </c>
      <c r="BP603" s="5" t="str">
        <f>""</f>
        <v/>
      </c>
      <c r="BQ603" s="5" t="str">
        <f>""</f>
        <v/>
      </c>
      <c r="BR603" s="5" t="str">
        <f>""</f>
        <v/>
      </c>
      <c r="BS603" s="5" t="str">
        <f>"60,00"</f>
        <v>60,00</v>
      </c>
      <c r="BT603" s="5" t="str">
        <f>"2019"</f>
        <v>2019</v>
      </c>
      <c r="BU603" s="5" t="str">
        <f t="shared" si="796"/>
        <v>нет</v>
      </c>
      <c r="BV603" s="5" t="str">
        <f t="shared" si="822"/>
        <v>x</v>
      </c>
      <c r="BW603" s="5" t="str">
        <f t="shared" si="822"/>
        <v>x</v>
      </c>
      <c r="BX603" s="5" t="str">
        <f t="shared" si="822"/>
        <v>x</v>
      </c>
      <c r="BY603" s="5" t="str">
        <f t="shared" si="823"/>
        <v>нет</v>
      </c>
      <c r="BZ603" s="5" t="str">
        <f t="shared" si="819"/>
        <v>x</v>
      </c>
      <c r="CA603" s="5" t="str">
        <f t="shared" si="819"/>
        <v>x</v>
      </c>
      <c r="CB603" s="5" t="str">
        <f t="shared" si="819"/>
        <v>x</v>
      </c>
      <c r="CC603" s="5" t="str">
        <f>""</f>
        <v/>
      </c>
      <c r="CD603" s="5" t="str">
        <f>"60,00"</f>
        <v>60,00</v>
      </c>
      <c r="CE603" s="5" t="str">
        <f>"2019"</f>
        <v>2019</v>
      </c>
      <c r="CF603" s="5" t="str">
        <f>""</f>
        <v/>
      </c>
      <c r="CG603" s="5" t="str">
        <f>"60,00"</f>
        <v>60,00</v>
      </c>
      <c r="CH603" s="5" t="str">
        <f>"2019"</f>
        <v>2019</v>
      </c>
      <c r="CI603" s="5" t="str">
        <f>"60,00"</f>
        <v>60,00</v>
      </c>
      <c r="CJ603" s="5" t="str">
        <f>"2019"</f>
        <v>2019</v>
      </c>
    </row>
    <row r="604" spans="1:88" ht="11.25" customHeight="1">
      <c r="A604" s="3" t="str">
        <f>"1.591"</f>
        <v>1.591</v>
      </c>
      <c r="B604" s="4" t="str">
        <f>"пгт. Вохтога, ул. Строителей, д.6а"</f>
        <v>пгт. Вохтога, ул. Строителей, д.6а</v>
      </c>
      <c r="C604" s="7" t="str">
        <f t="shared" si="820"/>
        <v>1974</v>
      </c>
      <c r="D604" s="5" t="str">
        <f>""</f>
        <v/>
      </c>
      <c r="E604" s="5" t="str">
        <f>"61,00"</f>
        <v>61,00</v>
      </c>
      <c r="F604" s="5" t="str">
        <f>"2020"</f>
        <v>2020</v>
      </c>
      <c r="G604" s="5" t="str">
        <f t="shared" si="809"/>
        <v>нет</v>
      </c>
      <c r="H604" s="5" t="str">
        <f>""</f>
        <v/>
      </c>
      <c r="I604" s="5" t="str">
        <f>""</f>
        <v/>
      </c>
      <c r="J604" s="5" t="str">
        <f>""</f>
        <v/>
      </c>
      <c r="K604" s="5" t="str">
        <f t="shared" si="810"/>
        <v>нет</v>
      </c>
      <c r="L604" s="5" t="str">
        <f>""</f>
        <v/>
      </c>
      <c r="M604" s="5" t="str">
        <f>""</f>
        <v/>
      </c>
      <c r="N604" s="5" t="str">
        <f>""</f>
        <v/>
      </c>
      <c r="O604" s="8" t="str">
        <f>""</f>
        <v/>
      </c>
      <c r="P604" s="5" t="str">
        <f>"61,00"</f>
        <v>61,00</v>
      </c>
      <c r="Q604" s="5" t="str">
        <f>"2025"</f>
        <v>2025</v>
      </c>
      <c r="R604" s="5" t="str">
        <f t="shared" si="812"/>
        <v>нет</v>
      </c>
      <c r="S604" s="5" t="str">
        <f>""</f>
        <v/>
      </c>
      <c r="T604" s="5" t="str">
        <f>""</f>
        <v/>
      </c>
      <c r="U604" s="5" t="str">
        <f>""</f>
        <v/>
      </c>
      <c r="V604" s="5" t="str">
        <f t="shared" si="813"/>
        <v>нет</v>
      </c>
      <c r="W604" s="5" t="str">
        <f>""</f>
        <v/>
      </c>
      <c r="X604" s="5" t="str">
        <f>""</f>
        <v/>
      </c>
      <c r="Y604" s="9" t="str">
        <f>""</f>
        <v/>
      </c>
      <c r="Z604" s="5" t="str">
        <f>""</f>
        <v/>
      </c>
      <c r="AA604" s="5" t="str">
        <f>""</f>
        <v/>
      </c>
      <c r="AB604" s="5" t="str">
        <f>""</f>
        <v/>
      </c>
      <c r="AC604" s="5" t="str">
        <f>""</f>
        <v/>
      </c>
      <c r="AD604" s="5" t="str">
        <f>""</f>
        <v/>
      </c>
      <c r="AE604" s="5" t="str">
        <f>""</f>
        <v/>
      </c>
      <c r="AF604" s="5" t="str">
        <f>""</f>
        <v/>
      </c>
      <c r="AG604" s="5" t="str">
        <f>""</f>
        <v/>
      </c>
      <c r="AH604" s="5" t="str">
        <f>""</f>
        <v/>
      </c>
      <c r="AI604" s="5" t="str">
        <f>""</f>
        <v/>
      </c>
      <c r="AJ604" s="5" t="str">
        <f>""</f>
        <v/>
      </c>
      <c r="AK604" s="8" t="str">
        <f>""</f>
        <v/>
      </c>
      <c r="AL604" s="5" t="str">
        <f>"61,00"</f>
        <v>61,00</v>
      </c>
      <c r="AM604" s="5" t="str">
        <f>"2024"</f>
        <v>2024</v>
      </c>
      <c r="AN604" s="5" t="str">
        <f t="shared" si="821"/>
        <v>нет</v>
      </c>
      <c r="AO604" s="5" t="str">
        <f>""</f>
        <v/>
      </c>
      <c r="AP604" s="5" t="str">
        <f>""</f>
        <v/>
      </c>
      <c r="AQ604" s="5" t="str">
        <f>""</f>
        <v/>
      </c>
      <c r="AR604" s="5" t="str">
        <f t="shared" si="817"/>
        <v>нет</v>
      </c>
      <c r="AS604" s="5" t="str">
        <f>""</f>
        <v/>
      </c>
      <c r="AT604" s="5" t="str">
        <f>""</f>
        <v/>
      </c>
      <c r="AU604" s="5" t="str">
        <f>""</f>
        <v/>
      </c>
      <c r="AV604" s="5" t="str">
        <f t="shared" si="818"/>
        <v>х</v>
      </c>
      <c r="AW604" s="5" t="str">
        <f t="shared" si="818"/>
        <v>х</v>
      </c>
      <c r="AX604" s="5" t="str">
        <f t="shared" si="818"/>
        <v>х</v>
      </c>
      <c r="AY604" s="5" t="str">
        <f t="shared" si="818"/>
        <v>х</v>
      </c>
      <c r="AZ604" s="5" t="str">
        <f t="shared" si="818"/>
        <v>х</v>
      </c>
      <c r="BA604" s="5" t="str">
        <f t="shared" si="818"/>
        <v>х</v>
      </c>
      <c r="BB604" s="5" t="str">
        <f t="shared" si="818"/>
        <v>х</v>
      </c>
      <c r="BC604" s="5" t="str">
        <f t="shared" si="818"/>
        <v>х</v>
      </c>
      <c r="BD604" s="5" t="str">
        <f t="shared" si="818"/>
        <v>х</v>
      </c>
      <c r="BE604" s="5" t="str">
        <f t="shared" si="818"/>
        <v>х</v>
      </c>
      <c r="BF604" s="5" t="str">
        <f t="shared" si="818"/>
        <v>х</v>
      </c>
      <c r="BG604" s="5" t="str">
        <f>""</f>
        <v/>
      </c>
      <c r="BH604" s="5" t="str">
        <f>"61,00"</f>
        <v>61,00</v>
      </c>
      <c r="BI604" s="5" t="str">
        <f>"2020"</f>
        <v>2020</v>
      </c>
      <c r="BJ604" s="5" t="str">
        <f t="shared" si="814"/>
        <v>нет</v>
      </c>
      <c r="BK604" s="5" t="str">
        <f>""</f>
        <v/>
      </c>
      <c r="BL604" s="5" t="str">
        <f>""</f>
        <v/>
      </c>
      <c r="BM604" s="5" t="str">
        <f>""</f>
        <v/>
      </c>
      <c r="BN604" s="5" t="str">
        <f t="shared" si="815"/>
        <v>нет</v>
      </c>
      <c r="BO604" s="5" t="str">
        <f>""</f>
        <v/>
      </c>
      <c r="BP604" s="5" t="str">
        <f>""</f>
        <v/>
      </c>
      <c r="BQ604" s="5" t="str">
        <f>""</f>
        <v/>
      </c>
      <c r="BR604" s="5" t="str">
        <f>""</f>
        <v/>
      </c>
      <c r="BS604" s="5" t="str">
        <f>"61,00"</f>
        <v>61,00</v>
      </c>
      <c r="BT604" s="5" t="str">
        <f>"2028"</f>
        <v>2028</v>
      </c>
      <c r="BU604" s="5" t="str">
        <f t="shared" si="796"/>
        <v>нет</v>
      </c>
      <c r="BV604" s="5" t="str">
        <f t="shared" si="822"/>
        <v>x</v>
      </c>
      <c r="BW604" s="5" t="str">
        <f t="shared" si="822"/>
        <v>x</v>
      </c>
      <c r="BX604" s="5" t="str">
        <f t="shared" si="822"/>
        <v>x</v>
      </c>
      <c r="BY604" s="5" t="str">
        <f t="shared" si="823"/>
        <v>нет</v>
      </c>
      <c r="BZ604" s="5" t="str">
        <f t="shared" si="819"/>
        <v>x</v>
      </c>
      <c r="CA604" s="5" t="str">
        <f t="shared" si="819"/>
        <v>x</v>
      </c>
      <c r="CB604" s="5" t="str">
        <f t="shared" si="819"/>
        <v>x</v>
      </c>
      <c r="CC604" s="5" t="str">
        <f>""</f>
        <v/>
      </c>
      <c r="CD604" s="5" t="str">
        <f>"61,00"</f>
        <v>61,00</v>
      </c>
      <c r="CE604" s="5" t="str">
        <f>"2019"</f>
        <v>2019</v>
      </c>
      <c r="CF604" s="5" t="str">
        <f>""</f>
        <v/>
      </c>
      <c r="CG604" s="5" t="str">
        <f>"61,00"</f>
        <v>61,00</v>
      </c>
      <c r="CH604" s="5" t="str">
        <f>"2019"</f>
        <v>2019</v>
      </c>
      <c r="CI604" s="5" t="str">
        <f>"61,00"</f>
        <v>61,00</v>
      </c>
      <c r="CJ604" s="5" t="str">
        <f>"2019"</f>
        <v>2019</v>
      </c>
    </row>
    <row r="605" spans="1:88" ht="11.25" customHeight="1">
      <c r="A605" s="3" t="str">
        <f>"1.592"</f>
        <v>1.592</v>
      </c>
      <c r="B605" s="4" t="str">
        <f>"пгт. Вохтога, ул. Строителей, д.7"</f>
        <v>пгт. Вохтога, ул. Строителей, д.7</v>
      </c>
      <c r="C605" s="7" t="str">
        <f t="shared" si="820"/>
        <v>1974</v>
      </c>
      <c r="D605" s="5" t="str">
        <f>""</f>
        <v/>
      </c>
      <c r="E605" s="5" t="str">
        <f>"66,00"</f>
        <v>66,00</v>
      </c>
      <c r="F605" s="5" t="str">
        <f>"2020"</f>
        <v>2020</v>
      </c>
      <c r="G605" s="5" t="str">
        <f t="shared" si="809"/>
        <v>нет</v>
      </c>
      <c r="H605" s="5" t="str">
        <f>""</f>
        <v/>
      </c>
      <c r="I605" s="5" t="str">
        <f>""</f>
        <v/>
      </c>
      <c r="J605" s="5" t="str">
        <f>""</f>
        <v/>
      </c>
      <c r="K605" s="5" t="str">
        <f t="shared" si="810"/>
        <v>нет</v>
      </c>
      <c r="L605" s="5" t="str">
        <f>""</f>
        <v/>
      </c>
      <c r="M605" s="5" t="str">
        <f>""</f>
        <v/>
      </c>
      <c r="N605" s="5" t="str">
        <f>""</f>
        <v/>
      </c>
      <c r="O605" s="8" t="str">
        <f>""</f>
        <v/>
      </c>
      <c r="P605" s="5" t="str">
        <f>"66,00"</f>
        <v>66,00</v>
      </c>
      <c r="Q605" s="5" t="str">
        <f>"2020"</f>
        <v>2020</v>
      </c>
      <c r="R605" s="5" t="str">
        <f t="shared" si="812"/>
        <v>нет</v>
      </c>
      <c r="S605" s="5" t="str">
        <f>""</f>
        <v/>
      </c>
      <c r="T605" s="5" t="str">
        <f>""</f>
        <v/>
      </c>
      <c r="U605" s="5" t="str">
        <f>""</f>
        <v/>
      </c>
      <c r="V605" s="5" t="str">
        <f t="shared" si="813"/>
        <v>нет</v>
      </c>
      <c r="W605" s="5" t="str">
        <f>""</f>
        <v/>
      </c>
      <c r="X605" s="5" t="str">
        <f>""</f>
        <v/>
      </c>
      <c r="Y605" s="9" t="str">
        <f>""</f>
        <v/>
      </c>
      <c r="Z605" s="5" t="str">
        <f>""</f>
        <v/>
      </c>
      <c r="AA605" s="5" t="str">
        <f>""</f>
        <v/>
      </c>
      <c r="AB605" s="5" t="str">
        <f>""</f>
        <v/>
      </c>
      <c r="AC605" s="5" t="str">
        <f>""</f>
        <v/>
      </c>
      <c r="AD605" s="5" t="str">
        <f>""</f>
        <v/>
      </c>
      <c r="AE605" s="5" t="str">
        <f>""</f>
        <v/>
      </c>
      <c r="AF605" s="5" t="str">
        <f>""</f>
        <v/>
      </c>
      <c r="AG605" s="5" t="str">
        <f>""</f>
        <v/>
      </c>
      <c r="AH605" s="5" t="str">
        <f>""</f>
        <v/>
      </c>
      <c r="AI605" s="5" t="str">
        <f>""</f>
        <v/>
      </c>
      <c r="AJ605" s="5" t="str">
        <f>""</f>
        <v/>
      </c>
      <c r="AK605" s="8" t="str">
        <f>""</f>
        <v/>
      </c>
      <c r="AL605" s="5" t="str">
        <f>"66,00"</f>
        <v>66,00</v>
      </c>
      <c r="AM605" s="5" t="str">
        <f>"2020"</f>
        <v>2020</v>
      </c>
      <c r="AN605" s="5" t="str">
        <f t="shared" si="821"/>
        <v>нет</v>
      </c>
      <c r="AO605" s="5" t="str">
        <f>""</f>
        <v/>
      </c>
      <c r="AP605" s="5" t="str">
        <f>""</f>
        <v/>
      </c>
      <c r="AQ605" s="5" t="str">
        <f>""</f>
        <v/>
      </c>
      <c r="AR605" s="5" t="str">
        <f t="shared" si="817"/>
        <v>нет</v>
      </c>
      <c r="AS605" s="5" t="str">
        <f>""</f>
        <v/>
      </c>
      <c r="AT605" s="5" t="str">
        <f>""</f>
        <v/>
      </c>
      <c r="AU605" s="5" t="str">
        <f>""</f>
        <v/>
      </c>
      <c r="AV605" s="5" t="str">
        <f t="shared" si="818"/>
        <v>х</v>
      </c>
      <c r="AW605" s="5" t="str">
        <f t="shared" si="818"/>
        <v>х</v>
      </c>
      <c r="AX605" s="5" t="str">
        <f t="shared" si="818"/>
        <v>х</v>
      </c>
      <c r="AY605" s="5" t="str">
        <f t="shared" si="818"/>
        <v>х</v>
      </c>
      <c r="AZ605" s="5" t="str">
        <f t="shared" si="818"/>
        <v>х</v>
      </c>
      <c r="BA605" s="5" t="str">
        <f t="shared" si="818"/>
        <v>х</v>
      </c>
      <c r="BB605" s="5" t="str">
        <f t="shared" si="818"/>
        <v>х</v>
      </c>
      <c r="BC605" s="5" t="str">
        <f t="shared" si="818"/>
        <v>х</v>
      </c>
      <c r="BD605" s="5" t="str">
        <f t="shared" si="818"/>
        <v>х</v>
      </c>
      <c r="BE605" s="5" t="str">
        <f t="shared" si="818"/>
        <v>х</v>
      </c>
      <c r="BF605" s="5" t="str">
        <f t="shared" si="818"/>
        <v>х</v>
      </c>
      <c r="BG605" s="5" t="str">
        <f>""</f>
        <v/>
      </c>
      <c r="BH605" s="5" t="str">
        <f>"66,00"</f>
        <v>66,00</v>
      </c>
      <c r="BI605" s="5" t="str">
        <f>"2020"</f>
        <v>2020</v>
      </c>
      <c r="BJ605" s="5" t="str">
        <f t="shared" si="814"/>
        <v>нет</v>
      </c>
      <c r="BK605" s="5" t="str">
        <f>""</f>
        <v/>
      </c>
      <c r="BL605" s="5" t="str">
        <f>""</f>
        <v/>
      </c>
      <c r="BM605" s="5" t="str">
        <f>""</f>
        <v/>
      </c>
      <c r="BN605" s="5" t="str">
        <f t="shared" si="815"/>
        <v>нет</v>
      </c>
      <c r="BO605" s="5" t="str">
        <f>""</f>
        <v/>
      </c>
      <c r="BP605" s="5" t="str">
        <f>""</f>
        <v/>
      </c>
      <c r="BQ605" s="5" t="str">
        <f>""</f>
        <v/>
      </c>
      <c r="BR605" s="5" t="str">
        <f>""</f>
        <v/>
      </c>
      <c r="BS605" s="5" t="str">
        <f>"66,00"</f>
        <v>66,00</v>
      </c>
      <c r="BT605" s="5" t="str">
        <f>"2017"</f>
        <v>2017</v>
      </c>
      <c r="BU605" s="5" t="str">
        <f t="shared" si="796"/>
        <v>нет</v>
      </c>
      <c r="BV605" s="5" t="str">
        <f t="shared" si="822"/>
        <v>x</v>
      </c>
      <c r="BW605" s="5" t="str">
        <f t="shared" si="822"/>
        <v>x</v>
      </c>
      <c r="BX605" s="5" t="str">
        <f t="shared" si="822"/>
        <v>x</v>
      </c>
      <c r="BY605" s="5" t="str">
        <f t="shared" si="823"/>
        <v>нет</v>
      </c>
      <c r="BZ605" s="5" t="str">
        <f t="shared" si="819"/>
        <v>x</v>
      </c>
      <c r="CA605" s="5" t="str">
        <f t="shared" si="819"/>
        <v>x</v>
      </c>
      <c r="CB605" s="5" t="str">
        <f t="shared" si="819"/>
        <v>x</v>
      </c>
      <c r="CC605" s="5" t="str">
        <f>""</f>
        <v/>
      </c>
      <c r="CD605" s="5" t="str">
        <f>"66,00"</f>
        <v>66,00</v>
      </c>
      <c r="CE605" s="5" t="str">
        <f>"2021"</f>
        <v>2021</v>
      </c>
      <c r="CF605" s="5" t="str">
        <f>""</f>
        <v/>
      </c>
      <c r="CG605" s="5" t="str">
        <f>"66,00"</f>
        <v>66,00</v>
      </c>
      <c r="CH605" s="5" t="str">
        <f>"2021"</f>
        <v>2021</v>
      </c>
      <c r="CI605" s="5" t="str">
        <f>"66,00"</f>
        <v>66,00</v>
      </c>
      <c r="CJ605" s="5" t="str">
        <f>"2021"</f>
        <v>2021</v>
      </c>
    </row>
    <row r="606" spans="1:88" ht="11.25" customHeight="1">
      <c r="A606" s="3" t="str">
        <f>"1.593"</f>
        <v>1.593</v>
      </c>
      <c r="B606" s="4" t="str">
        <f>"пгт. Вохтога, ул. Строителей, д.7а"</f>
        <v>пгт. Вохтога, ул. Строителей, д.7а</v>
      </c>
      <c r="C606" s="7" t="str">
        <f t="shared" si="820"/>
        <v>1974</v>
      </c>
      <c r="D606" s="5" t="str">
        <f>""</f>
        <v/>
      </c>
      <c r="E606" s="5" t="str">
        <f>"62,00"</f>
        <v>62,00</v>
      </c>
      <c r="F606" s="5" t="str">
        <f>"2020"</f>
        <v>2020</v>
      </c>
      <c r="G606" s="5" t="str">
        <f t="shared" si="809"/>
        <v>нет</v>
      </c>
      <c r="H606" s="5" t="str">
        <f>""</f>
        <v/>
      </c>
      <c r="I606" s="5" t="str">
        <f>""</f>
        <v/>
      </c>
      <c r="J606" s="5" t="str">
        <f>""</f>
        <v/>
      </c>
      <c r="K606" s="5" t="str">
        <f t="shared" si="810"/>
        <v>нет</v>
      </c>
      <c r="L606" s="5" t="str">
        <f>""</f>
        <v/>
      </c>
      <c r="M606" s="5" t="str">
        <f>""</f>
        <v/>
      </c>
      <c r="N606" s="5" t="str">
        <f>""</f>
        <v/>
      </c>
      <c r="O606" s="8" t="str">
        <f>""</f>
        <v/>
      </c>
      <c r="P606" s="5" t="str">
        <f>"62,00"</f>
        <v>62,00</v>
      </c>
      <c r="Q606" s="5" t="str">
        <f>"2020"</f>
        <v>2020</v>
      </c>
      <c r="R606" s="5" t="str">
        <f t="shared" si="812"/>
        <v>нет</v>
      </c>
      <c r="S606" s="5" t="str">
        <f>""</f>
        <v/>
      </c>
      <c r="T606" s="5" t="str">
        <f>""</f>
        <v/>
      </c>
      <c r="U606" s="5" t="str">
        <f>""</f>
        <v/>
      </c>
      <c r="V606" s="5" t="str">
        <f t="shared" si="813"/>
        <v>нет</v>
      </c>
      <c r="W606" s="5" t="str">
        <f>""</f>
        <v/>
      </c>
      <c r="X606" s="5" t="str">
        <f>""</f>
        <v/>
      </c>
      <c r="Y606" s="9" t="str">
        <f>""</f>
        <v/>
      </c>
      <c r="Z606" s="5" t="str">
        <f>""</f>
        <v/>
      </c>
      <c r="AA606" s="5" t="str">
        <f>""</f>
        <v/>
      </c>
      <c r="AB606" s="5" t="str">
        <f>""</f>
        <v/>
      </c>
      <c r="AC606" s="5" t="str">
        <f>""</f>
        <v/>
      </c>
      <c r="AD606" s="5" t="str">
        <f>""</f>
        <v/>
      </c>
      <c r="AE606" s="5" t="str">
        <f>""</f>
        <v/>
      </c>
      <c r="AF606" s="5" t="str">
        <f>""</f>
        <v/>
      </c>
      <c r="AG606" s="5" t="str">
        <f>""</f>
        <v/>
      </c>
      <c r="AH606" s="5" t="str">
        <f>""</f>
        <v/>
      </c>
      <c r="AI606" s="5" t="str">
        <f>""</f>
        <v/>
      </c>
      <c r="AJ606" s="5" t="str">
        <f>""</f>
        <v/>
      </c>
      <c r="AK606" s="8" t="str">
        <f>""</f>
        <v/>
      </c>
      <c r="AL606" s="5" t="str">
        <f>"62,00"</f>
        <v>62,00</v>
      </c>
      <c r="AM606" s="5" t="str">
        <f>"2020"</f>
        <v>2020</v>
      </c>
      <c r="AN606" s="5" t="str">
        <f t="shared" si="821"/>
        <v>нет</v>
      </c>
      <c r="AO606" s="5" t="str">
        <f>""</f>
        <v/>
      </c>
      <c r="AP606" s="5" t="str">
        <f>""</f>
        <v/>
      </c>
      <c r="AQ606" s="5" t="str">
        <f>""</f>
        <v/>
      </c>
      <c r="AR606" s="5" t="str">
        <f t="shared" si="817"/>
        <v>нет</v>
      </c>
      <c r="AS606" s="5" t="str">
        <f>""</f>
        <v/>
      </c>
      <c r="AT606" s="5" t="str">
        <f>""</f>
        <v/>
      </c>
      <c r="AU606" s="5" t="str">
        <f>""</f>
        <v/>
      </c>
      <c r="AV606" s="5" t="str">
        <f t="shared" si="818"/>
        <v>х</v>
      </c>
      <c r="AW606" s="5" t="str">
        <f t="shared" si="818"/>
        <v>х</v>
      </c>
      <c r="AX606" s="5" t="str">
        <f t="shared" si="818"/>
        <v>х</v>
      </c>
      <c r="AY606" s="5" t="str">
        <f t="shared" si="818"/>
        <v>х</v>
      </c>
      <c r="AZ606" s="5" t="str">
        <f t="shared" si="818"/>
        <v>х</v>
      </c>
      <c r="BA606" s="5" t="str">
        <f t="shared" si="818"/>
        <v>х</v>
      </c>
      <c r="BB606" s="5" t="str">
        <f t="shared" si="818"/>
        <v>х</v>
      </c>
      <c r="BC606" s="5" t="str">
        <f t="shared" si="818"/>
        <v>х</v>
      </c>
      <c r="BD606" s="5" t="str">
        <f t="shared" si="818"/>
        <v>х</v>
      </c>
      <c r="BE606" s="5" t="str">
        <f t="shared" si="818"/>
        <v>х</v>
      </c>
      <c r="BF606" s="5" t="str">
        <f t="shared" si="818"/>
        <v>х</v>
      </c>
      <c r="BG606" s="5" t="str">
        <f>""</f>
        <v/>
      </c>
      <c r="BH606" s="5" t="str">
        <f>"62,00"</f>
        <v>62,00</v>
      </c>
      <c r="BI606" s="5" t="str">
        <f>"2020"</f>
        <v>2020</v>
      </c>
      <c r="BJ606" s="5" t="str">
        <f t="shared" si="814"/>
        <v>нет</v>
      </c>
      <c r="BK606" s="5" t="str">
        <f>""</f>
        <v/>
      </c>
      <c r="BL606" s="5" t="str">
        <f>""</f>
        <v/>
      </c>
      <c r="BM606" s="5" t="str">
        <f>""</f>
        <v/>
      </c>
      <c r="BN606" s="5" t="str">
        <f t="shared" si="815"/>
        <v>нет</v>
      </c>
      <c r="BO606" s="5" t="str">
        <f>""</f>
        <v/>
      </c>
      <c r="BP606" s="5" t="str">
        <f>""</f>
        <v/>
      </c>
      <c r="BQ606" s="5" t="str">
        <f>""</f>
        <v/>
      </c>
      <c r="BR606" s="5" t="str">
        <f>""</f>
        <v/>
      </c>
      <c r="BS606" s="5" t="str">
        <f>"62,00"</f>
        <v>62,00</v>
      </c>
      <c r="BT606" s="5" t="str">
        <f>"2017"</f>
        <v>2017</v>
      </c>
      <c r="BU606" s="5" t="str">
        <f t="shared" si="796"/>
        <v>нет</v>
      </c>
      <c r="BV606" s="5" t="str">
        <f t="shared" si="822"/>
        <v>x</v>
      </c>
      <c r="BW606" s="5" t="str">
        <f t="shared" si="822"/>
        <v>x</v>
      </c>
      <c r="BX606" s="5" t="str">
        <f t="shared" si="822"/>
        <v>x</v>
      </c>
      <c r="BY606" s="5" t="str">
        <f t="shared" si="823"/>
        <v>нет</v>
      </c>
      <c r="BZ606" s="5" t="str">
        <f t="shared" si="819"/>
        <v>x</v>
      </c>
      <c r="CA606" s="5" t="str">
        <f t="shared" si="819"/>
        <v>x</v>
      </c>
      <c r="CB606" s="5" t="str">
        <f t="shared" si="819"/>
        <v>x</v>
      </c>
      <c r="CC606" s="5" t="str">
        <f>""</f>
        <v/>
      </c>
      <c r="CD606" s="5" t="str">
        <f>"62,00"</f>
        <v>62,00</v>
      </c>
      <c r="CE606" s="5" t="str">
        <f>"2021"</f>
        <v>2021</v>
      </c>
      <c r="CF606" s="5" t="str">
        <f>""</f>
        <v/>
      </c>
      <c r="CG606" s="5" t="str">
        <f>"62,00"</f>
        <v>62,00</v>
      </c>
      <c r="CH606" s="5" t="str">
        <f>"2021"</f>
        <v>2021</v>
      </c>
      <c r="CI606" s="5" t="str">
        <f>"62,00"</f>
        <v>62,00</v>
      </c>
      <c r="CJ606" s="5" t="str">
        <f>"2021"</f>
        <v>2021</v>
      </c>
    </row>
    <row r="607" spans="1:88" ht="11.25" customHeight="1">
      <c r="A607" s="3" t="str">
        <f>"1.594"</f>
        <v>1.594</v>
      </c>
      <c r="B607" s="4" t="str">
        <f>"пгт. Вохтога, ул. Строителей, д.8"</f>
        <v>пгт. Вохтога, ул. Строителей, д.8</v>
      </c>
      <c r="C607" s="7" t="str">
        <f>"1987"</f>
        <v>1987</v>
      </c>
      <c r="D607" s="5" t="str">
        <f>""</f>
        <v/>
      </c>
      <c r="E607" s="5" t="str">
        <f>"45,00"</f>
        <v>45,00</v>
      </c>
      <c r="F607" s="5" t="str">
        <f>"2021"</f>
        <v>2021</v>
      </c>
      <c r="G607" s="5" t="str">
        <f t="shared" si="809"/>
        <v>нет</v>
      </c>
      <c r="H607" s="5" t="str">
        <f>""</f>
        <v/>
      </c>
      <c r="I607" s="5" t="str">
        <f>""</f>
        <v/>
      </c>
      <c r="J607" s="5" t="str">
        <f>""</f>
        <v/>
      </c>
      <c r="K607" s="5" t="str">
        <f t="shared" si="810"/>
        <v>нет</v>
      </c>
      <c r="L607" s="5" t="str">
        <f>""</f>
        <v/>
      </c>
      <c r="M607" s="5" t="str">
        <f>""</f>
        <v/>
      </c>
      <c r="N607" s="5" t="str">
        <f>""</f>
        <v/>
      </c>
      <c r="O607" s="8" t="str">
        <f>""</f>
        <v/>
      </c>
      <c r="P607" s="5" t="str">
        <f>"45,00"</f>
        <v>45,00</v>
      </c>
      <c r="Q607" s="5" t="str">
        <f>"2021"</f>
        <v>2021</v>
      </c>
      <c r="R607" s="5" t="str">
        <f t="shared" si="812"/>
        <v>нет</v>
      </c>
      <c r="S607" s="5" t="str">
        <f>""</f>
        <v/>
      </c>
      <c r="T607" s="5" t="str">
        <f>""</f>
        <v/>
      </c>
      <c r="U607" s="5" t="str">
        <f>""</f>
        <v/>
      </c>
      <c r="V607" s="5" t="str">
        <f t="shared" si="813"/>
        <v>нет</v>
      </c>
      <c r="W607" s="5" t="str">
        <f>""</f>
        <v/>
      </c>
      <c r="X607" s="5" t="str">
        <f>""</f>
        <v/>
      </c>
      <c r="Y607" s="9" t="str">
        <f>""</f>
        <v/>
      </c>
      <c r="Z607" s="5" t="str">
        <f>""</f>
        <v/>
      </c>
      <c r="AA607" s="5" t="str">
        <f>""</f>
        <v/>
      </c>
      <c r="AB607" s="5" t="str">
        <f>""</f>
        <v/>
      </c>
      <c r="AC607" s="5" t="str">
        <f>""</f>
        <v/>
      </c>
      <c r="AD607" s="5" t="str">
        <f>""</f>
        <v/>
      </c>
      <c r="AE607" s="5" t="str">
        <f>""</f>
        <v/>
      </c>
      <c r="AF607" s="5" t="str">
        <f>""</f>
        <v/>
      </c>
      <c r="AG607" s="5" t="str">
        <f>""</f>
        <v/>
      </c>
      <c r="AH607" s="5" t="str">
        <f>""</f>
        <v/>
      </c>
      <c r="AI607" s="5" t="str">
        <f>""</f>
        <v/>
      </c>
      <c r="AJ607" s="5" t="str">
        <f>""</f>
        <v/>
      </c>
      <c r="AK607" s="8" t="str">
        <f>""</f>
        <v/>
      </c>
      <c r="AL607" s="5" t="str">
        <f>"45,00"</f>
        <v>45,00</v>
      </c>
      <c r="AM607" s="5" t="str">
        <f>"2021"</f>
        <v>2021</v>
      </c>
      <c r="AN607" s="5" t="str">
        <f t="shared" si="821"/>
        <v>нет</v>
      </c>
      <c r="AO607" s="5" t="str">
        <f>""</f>
        <v/>
      </c>
      <c r="AP607" s="5" t="str">
        <f>""</f>
        <v/>
      </c>
      <c r="AQ607" s="5" t="str">
        <f>""</f>
        <v/>
      </c>
      <c r="AR607" s="5" t="str">
        <f t="shared" si="817"/>
        <v>нет</v>
      </c>
      <c r="AS607" s="5" t="str">
        <f>""</f>
        <v/>
      </c>
      <c r="AT607" s="5" t="str">
        <f>""</f>
        <v/>
      </c>
      <c r="AU607" s="5" t="str">
        <f>""</f>
        <v/>
      </c>
      <c r="AV607" s="5" t="str">
        <f t="shared" si="818"/>
        <v>х</v>
      </c>
      <c r="AW607" s="5" t="str">
        <f t="shared" si="818"/>
        <v>х</v>
      </c>
      <c r="AX607" s="5" t="str">
        <f t="shared" si="818"/>
        <v>х</v>
      </c>
      <c r="AY607" s="5" t="str">
        <f t="shared" si="818"/>
        <v>х</v>
      </c>
      <c r="AZ607" s="5" t="str">
        <f t="shared" si="818"/>
        <v>х</v>
      </c>
      <c r="BA607" s="5" t="str">
        <f t="shared" si="818"/>
        <v>х</v>
      </c>
      <c r="BB607" s="5" t="str">
        <f t="shared" si="818"/>
        <v>х</v>
      </c>
      <c r="BC607" s="5" t="str">
        <f t="shared" si="818"/>
        <v>х</v>
      </c>
      <c r="BD607" s="5" t="str">
        <f t="shared" si="818"/>
        <v>х</v>
      </c>
      <c r="BE607" s="5" t="str">
        <f t="shared" si="818"/>
        <v>х</v>
      </c>
      <c r="BF607" s="5" t="str">
        <f t="shared" si="818"/>
        <v>х</v>
      </c>
      <c r="BG607" s="5" t="str">
        <f>""</f>
        <v/>
      </c>
      <c r="BH607" s="5" t="str">
        <f>"45,00"</f>
        <v>45,00</v>
      </c>
      <c r="BI607" s="5" t="str">
        <f>"2021"</f>
        <v>2021</v>
      </c>
      <c r="BJ607" s="5" t="str">
        <f t="shared" si="814"/>
        <v>нет</v>
      </c>
      <c r="BK607" s="5" t="str">
        <f>""</f>
        <v/>
      </c>
      <c r="BL607" s="5" t="str">
        <f>""</f>
        <v/>
      </c>
      <c r="BM607" s="5" t="str">
        <f>""</f>
        <v/>
      </c>
      <c r="BN607" s="5" t="str">
        <f t="shared" si="815"/>
        <v>нет</v>
      </c>
      <c r="BO607" s="5" t="str">
        <f>""</f>
        <v/>
      </c>
      <c r="BP607" s="5" t="str">
        <f>""</f>
        <v/>
      </c>
      <c r="BQ607" s="5" t="str">
        <f>""</f>
        <v/>
      </c>
      <c r="BR607" s="5" t="str">
        <f>""</f>
        <v/>
      </c>
      <c r="BS607" s="5" t="str">
        <f>"45,00"</f>
        <v>45,00</v>
      </c>
      <c r="BT607" s="5" t="str">
        <f>"2021"</f>
        <v>2021</v>
      </c>
      <c r="BU607" s="5" t="str">
        <f t="shared" si="796"/>
        <v>нет</v>
      </c>
      <c r="BV607" s="5" t="str">
        <f t="shared" si="822"/>
        <v>x</v>
      </c>
      <c r="BW607" s="5" t="str">
        <f t="shared" si="822"/>
        <v>x</v>
      </c>
      <c r="BX607" s="5" t="str">
        <f t="shared" si="822"/>
        <v>x</v>
      </c>
      <c r="BY607" s="5" t="str">
        <f t="shared" si="823"/>
        <v>нет</v>
      </c>
      <c r="BZ607" s="5" t="str">
        <f t="shared" si="819"/>
        <v>x</v>
      </c>
      <c r="CA607" s="5" t="str">
        <f t="shared" si="819"/>
        <v>x</v>
      </c>
      <c r="CB607" s="5" t="str">
        <f t="shared" si="819"/>
        <v>x</v>
      </c>
      <c r="CC607" s="5" t="str">
        <f>""</f>
        <v/>
      </c>
      <c r="CD607" s="5" t="str">
        <f>"45,00"</f>
        <v>45,00</v>
      </c>
      <c r="CE607" s="5" t="str">
        <f>"2021"</f>
        <v>2021</v>
      </c>
      <c r="CF607" s="5" t="str">
        <f>""</f>
        <v/>
      </c>
      <c r="CG607" s="5" t="str">
        <f>"45,00"</f>
        <v>45,00</v>
      </c>
      <c r="CH607" s="5" t="str">
        <f>"2021"</f>
        <v>2021</v>
      </c>
      <c r="CI607" s="5" t="str">
        <f>"45,00"</f>
        <v>45,00</v>
      </c>
      <c r="CJ607" s="5" t="str">
        <f>"2021"</f>
        <v>2021</v>
      </c>
    </row>
    <row r="608" spans="1:88" ht="11.25" customHeight="1">
      <c r="A608" s="3" t="str">
        <f>"1.595"</f>
        <v>1.595</v>
      </c>
      <c r="B608" s="4" t="str">
        <f>"пгт. Вохтога, ул. Строителей, д.9"</f>
        <v>пгт. Вохтога, ул. Строителей, д.9</v>
      </c>
      <c r="C608" s="7" t="str">
        <f>"1974"</f>
        <v>1974</v>
      </c>
      <c r="D608" s="5" t="str">
        <f>""</f>
        <v/>
      </c>
      <c r="E608" s="5" t="str">
        <f>"59,00"</f>
        <v>59,00</v>
      </c>
      <c r="F608" s="5" t="str">
        <f>"2020"</f>
        <v>2020</v>
      </c>
      <c r="G608" s="5" t="str">
        <f t="shared" si="809"/>
        <v>нет</v>
      </c>
      <c r="H608" s="5" t="str">
        <f>""</f>
        <v/>
      </c>
      <c r="I608" s="5" t="str">
        <f>""</f>
        <v/>
      </c>
      <c r="J608" s="5" t="str">
        <f>""</f>
        <v/>
      </c>
      <c r="K608" s="5" t="str">
        <f t="shared" si="810"/>
        <v>нет</v>
      </c>
      <c r="L608" s="5" t="str">
        <f>""</f>
        <v/>
      </c>
      <c r="M608" s="5" t="str">
        <f>""</f>
        <v/>
      </c>
      <c r="N608" s="5" t="str">
        <f>""</f>
        <v/>
      </c>
      <c r="O608" s="8" t="str">
        <f>""</f>
        <v/>
      </c>
      <c r="P608" s="5" t="str">
        <f>"59,00"</f>
        <v>59,00</v>
      </c>
      <c r="Q608" s="5" t="str">
        <f>"2020"</f>
        <v>2020</v>
      </c>
      <c r="R608" s="5" t="str">
        <f t="shared" si="812"/>
        <v>нет</v>
      </c>
      <c r="S608" s="5" t="str">
        <f>""</f>
        <v/>
      </c>
      <c r="T608" s="5" t="str">
        <f>""</f>
        <v/>
      </c>
      <c r="U608" s="5" t="str">
        <f>""</f>
        <v/>
      </c>
      <c r="V608" s="5" t="str">
        <f t="shared" si="813"/>
        <v>нет</v>
      </c>
      <c r="W608" s="5" t="str">
        <f>""</f>
        <v/>
      </c>
      <c r="X608" s="5" t="str">
        <f>""</f>
        <v/>
      </c>
      <c r="Y608" s="9" t="str">
        <f>""</f>
        <v/>
      </c>
      <c r="Z608" s="5" t="str">
        <f>""</f>
        <v/>
      </c>
      <c r="AA608" s="5" t="str">
        <f>""</f>
        <v/>
      </c>
      <c r="AB608" s="5" t="str">
        <f>""</f>
        <v/>
      </c>
      <c r="AC608" s="5" t="str">
        <f>""</f>
        <v/>
      </c>
      <c r="AD608" s="5" t="str">
        <f>""</f>
        <v/>
      </c>
      <c r="AE608" s="5" t="str">
        <f>""</f>
        <v/>
      </c>
      <c r="AF608" s="5" t="str">
        <f>""</f>
        <v/>
      </c>
      <c r="AG608" s="5" t="str">
        <f>""</f>
        <v/>
      </c>
      <c r="AH608" s="5" t="str">
        <f>""</f>
        <v/>
      </c>
      <c r="AI608" s="5" t="str">
        <f>""</f>
        <v/>
      </c>
      <c r="AJ608" s="5" t="str">
        <f>""</f>
        <v/>
      </c>
      <c r="AK608" s="8" t="str">
        <f>""</f>
        <v/>
      </c>
      <c r="AL608" s="5" t="str">
        <f>"59,00"</f>
        <v>59,00</v>
      </c>
      <c r="AM608" s="5" t="str">
        <f>"2020"</f>
        <v>2020</v>
      </c>
      <c r="AN608" s="5" t="str">
        <f t="shared" si="821"/>
        <v>нет</v>
      </c>
      <c r="AO608" s="5" t="str">
        <f>""</f>
        <v/>
      </c>
      <c r="AP608" s="5" t="str">
        <f>""</f>
        <v/>
      </c>
      <c r="AQ608" s="5" t="str">
        <f>""</f>
        <v/>
      </c>
      <c r="AR608" s="5" t="str">
        <f t="shared" si="817"/>
        <v>нет</v>
      </c>
      <c r="AS608" s="5" t="str">
        <f>""</f>
        <v/>
      </c>
      <c r="AT608" s="5" t="str">
        <f>""</f>
        <v/>
      </c>
      <c r="AU608" s="5" t="str">
        <f>""</f>
        <v/>
      </c>
      <c r="AV608" s="5" t="str">
        <f t="shared" ref="AV608:BF617" si="824">"х"</f>
        <v>х</v>
      </c>
      <c r="AW608" s="5" t="str">
        <f t="shared" si="824"/>
        <v>х</v>
      </c>
      <c r="AX608" s="5" t="str">
        <f t="shared" si="824"/>
        <v>х</v>
      </c>
      <c r="AY608" s="5" t="str">
        <f t="shared" si="824"/>
        <v>х</v>
      </c>
      <c r="AZ608" s="5" t="str">
        <f t="shared" si="824"/>
        <v>х</v>
      </c>
      <c r="BA608" s="5" t="str">
        <f t="shared" si="824"/>
        <v>х</v>
      </c>
      <c r="BB608" s="5" t="str">
        <f t="shared" si="824"/>
        <v>х</v>
      </c>
      <c r="BC608" s="5" t="str">
        <f t="shared" si="824"/>
        <v>х</v>
      </c>
      <c r="BD608" s="5" t="str">
        <f t="shared" si="824"/>
        <v>х</v>
      </c>
      <c r="BE608" s="5" t="str">
        <f t="shared" si="824"/>
        <v>х</v>
      </c>
      <c r="BF608" s="5" t="str">
        <f t="shared" si="824"/>
        <v>х</v>
      </c>
      <c r="BG608" s="5" t="str">
        <f>""</f>
        <v/>
      </c>
      <c r="BH608" s="5" t="str">
        <f>"59,00"</f>
        <v>59,00</v>
      </c>
      <c r="BI608" s="5" t="str">
        <f>"2020"</f>
        <v>2020</v>
      </c>
      <c r="BJ608" s="5" t="str">
        <f t="shared" si="814"/>
        <v>нет</v>
      </c>
      <c r="BK608" s="5" t="str">
        <f>""</f>
        <v/>
      </c>
      <c r="BL608" s="5" t="str">
        <f>""</f>
        <v/>
      </c>
      <c r="BM608" s="5" t="str">
        <f>""</f>
        <v/>
      </c>
      <c r="BN608" s="5" t="str">
        <f t="shared" si="815"/>
        <v>нет</v>
      </c>
      <c r="BO608" s="5" t="str">
        <f>""</f>
        <v/>
      </c>
      <c r="BP608" s="5" t="str">
        <f>""</f>
        <v/>
      </c>
      <c r="BQ608" s="5" t="str">
        <f>""</f>
        <v/>
      </c>
      <c r="BR608" s="5" t="str">
        <f>""</f>
        <v/>
      </c>
      <c r="BS608" s="5" t="str">
        <f>"59,00"</f>
        <v>59,00</v>
      </c>
      <c r="BT608" s="5" t="str">
        <f>"2019"</f>
        <v>2019</v>
      </c>
      <c r="BU608" s="5" t="str">
        <f t="shared" si="796"/>
        <v>нет</v>
      </c>
      <c r="BV608" s="5" t="str">
        <f t="shared" si="822"/>
        <v>x</v>
      </c>
      <c r="BW608" s="5" t="str">
        <f t="shared" si="822"/>
        <v>x</v>
      </c>
      <c r="BX608" s="5" t="str">
        <f t="shared" si="822"/>
        <v>x</v>
      </c>
      <c r="BY608" s="5" t="str">
        <f t="shared" si="823"/>
        <v>нет</v>
      </c>
      <c r="BZ608" s="5" t="str">
        <f t="shared" si="819"/>
        <v>x</v>
      </c>
      <c r="CA608" s="5" t="str">
        <f t="shared" si="819"/>
        <v>x</v>
      </c>
      <c r="CB608" s="5" t="str">
        <f t="shared" si="819"/>
        <v>x</v>
      </c>
      <c r="CC608" s="5" t="str">
        <f>""</f>
        <v/>
      </c>
      <c r="CD608" s="5" t="str">
        <f>"59,00"</f>
        <v>59,00</v>
      </c>
      <c r="CE608" s="5" t="str">
        <f>"2021"</f>
        <v>2021</v>
      </c>
      <c r="CF608" s="5" t="str">
        <f>""</f>
        <v/>
      </c>
      <c r="CG608" s="5" t="str">
        <f>"59,00"</f>
        <v>59,00</v>
      </c>
      <c r="CH608" s="5" t="str">
        <f>"2021"</f>
        <v>2021</v>
      </c>
      <c r="CI608" s="5" t="str">
        <f>"59,00"</f>
        <v>59,00</v>
      </c>
      <c r="CJ608" s="5" t="str">
        <f>"2021"</f>
        <v>2021</v>
      </c>
    </row>
    <row r="609" spans="1:88" ht="11.25" customHeight="1">
      <c r="A609" s="3" t="str">
        <f>"1.596"</f>
        <v>1.596</v>
      </c>
      <c r="B609" s="4" t="str">
        <f>"пгт. Вохтога, ул. Школьная, д.10"</f>
        <v>пгт. Вохтога, ул. Школьная, д.10</v>
      </c>
      <c r="C609" s="7" t="str">
        <f>"1964"</f>
        <v>1964</v>
      </c>
      <c r="D609" s="5" t="str">
        <f>""</f>
        <v/>
      </c>
      <c r="E609" s="5" t="str">
        <f>"54,00"</f>
        <v>54,00</v>
      </c>
      <c r="F609" s="5" t="str">
        <f>"2027"</f>
        <v>2027</v>
      </c>
      <c r="G609" s="5" t="str">
        <f>"да"</f>
        <v>да</v>
      </c>
      <c r="H609" s="5" t="str">
        <f>"2012"</f>
        <v>2012</v>
      </c>
      <c r="I609" s="5" t="str">
        <f>"5,00"</f>
        <v>5,00</v>
      </c>
      <c r="J609" s="5" t="str">
        <f>"2022"</f>
        <v>2022</v>
      </c>
      <c r="K609" s="5" t="str">
        <f>"да"</f>
        <v>да</v>
      </c>
      <c r="L609" s="5" t="str">
        <f>""</f>
        <v/>
      </c>
      <c r="M609" s="5" t="str">
        <f>"57,00"</f>
        <v>57,00</v>
      </c>
      <c r="N609" s="5" t="str">
        <f>"2027"</f>
        <v>2027</v>
      </c>
      <c r="O609" s="8" t="str">
        <f>""</f>
        <v/>
      </c>
      <c r="P609" s="5" t="str">
        <f>"61,00"</f>
        <v>61,00</v>
      </c>
      <c r="Q609" s="5" t="str">
        <f>"2025"</f>
        <v>2025</v>
      </c>
      <c r="R609" s="5" t="str">
        <f t="shared" si="812"/>
        <v>нет</v>
      </c>
      <c r="S609" s="5" t="str">
        <f>""</f>
        <v/>
      </c>
      <c r="T609" s="5" t="str">
        <f>""</f>
        <v/>
      </c>
      <c r="U609" s="5" t="str">
        <f>""</f>
        <v/>
      </c>
      <c r="V609" s="5" t="str">
        <f t="shared" si="813"/>
        <v>нет</v>
      </c>
      <c r="W609" s="5" t="str">
        <f>""</f>
        <v/>
      </c>
      <c r="X609" s="5" t="str">
        <f>""</f>
        <v/>
      </c>
      <c r="Y609" s="9" t="str">
        <f>""</f>
        <v/>
      </c>
      <c r="Z609" s="5" t="str">
        <f>""</f>
        <v/>
      </c>
      <c r="AA609" s="5" t="str">
        <f>""</f>
        <v/>
      </c>
      <c r="AB609" s="5" t="str">
        <f>""</f>
        <v/>
      </c>
      <c r="AC609" s="5" t="str">
        <f>""</f>
        <v/>
      </c>
      <c r="AD609" s="5" t="str">
        <f>""</f>
        <v/>
      </c>
      <c r="AE609" s="5" t="str">
        <f>""</f>
        <v/>
      </c>
      <c r="AF609" s="5" t="str">
        <f>""</f>
        <v/>
      </c>
      <c r="AG609" s="5" t="str">
        <f>""</f>
        <v/>
      </c>
      <c r="AH609" s="5" t="str">
        <f>""</f>
        <v/>
      </c>
      <c r="AI609" s="5" t="str">
        <f>""</f>
        <v/>
      </c>
      <c r="AJ609" s="5" t="str">
        <f>""</f>
        <v/>
      </c>
      <c r="AK609" s="8" t="str">
        <f>""</f>
        <v/>
      </c>
      <c r="AL609" s="5" t="str">
        <f>"61,00"</f>
        <v>61,00</v>
      </c>
      <c r="AM609" s="5" t="str">
        <f>"2024"</f>
        <v>2024</v>
      </c>
      <c r="AN609" s="5" t="str">
        <f t="shared" si="821"/>
        <v>нет</v>
      </c>
      <c r="AO609" s="5" t="str">
        <f>""</f>
        <v/>
      </c>
      <c r="AP609" s="5" t="str">
        <f>""</f>
        <v/>
      </c>
      <c r="AQ609" s="5" t="str">
        <f>""</f>
        <v/>
      </c>
      <c r="AR609" s="5" t="str">
        <f t="shared" si="817"/>
        <v>нет</v>
      </c>
      <c r="AS609" s="5" t="str">
        <f>""</f>
        <v/>
      </c>
      <c r="AT609" s="5" t="str">
        <f>""</f>
        <v/>
      </c>
      <c r="AU609" s="5" t="str">
        <f>""</f>
        <v/>
      </c>
      <c r="AV609" s="5" t="str">
        <f t="shared" si="824"/>
        <v>х</v>
      </c>
      <c r="AW609" s="5" t="str">
        <f t="shared" si="824"/>
        <v>х</v>
      </c>
      <c r="AX609" s="5" t="str">
        <f t="shared" si="824"/>
        <v>х</v>
      </c>
      <c r="AY609" s="5" t="str">
        <f t="shared" si="824"/>
        <v>х</v>
      </c>
      <c r="AZ609" s="5" t="str">
        <f t="shared" si="824"/>
        <v>х</v>
      </c>
      <c r="BA609" s="5" t="str">
        <f t="shared" si="824"/>
        <v>х</v>
      </c>
      <c r="BB609" s="5" t="str">
        <f t="shared" si="824"/>
        <v>х</v>
      </c>
      <c r="BC609" s="5" t="str">
        <f t="shared" si="824"/>
        <v>х</v>
      </c>
      <c r="BD609" s="5" t="str">
        <f t="shared" si="824"/>
        <v>х</v>
      </c>
      <c r="BE609" s="5" t="str">
        <f t="shared" si="824"/>
        <v>х</v>
      </c>
      <c r="BF609" s="5" t="str">
        <f t="shared" si="824"/>
        <v>х</v>
      </c>
      <c r="BG609" s="5" t="str">
        <f>""</f>
        <v/>
      </c>
      <c r="BH609" s="5" t="str">
        <f>""</f>
        <v/>
      </c>
      <c r="BI609" s="5" t="str">
        <f>""</f>
        <v/>
      </c>
      <c r="BJ609" s="5" t="str">
        <f>""</f>
        <v/>
      </c>
      <c r="BK609" s="5" t="str">
        <f>""</f>
        <v/>
      </c>
      <c r="BL609" s="5" t="str">
        <f>""</f>
        <v/>
      </c>
      <c r="BM609" s="5" t="str">
        <f>""</f>
        <v/>
      </c>
      <c r="BN609" s="5" t="str">
        <f>""</f>
        <v/>
      </c>
      <c r="BO609" s="5" t="str">
        <f>""</f>
        <v/>
      </c>
      <c r="BP609" s="5" t="str">
        <f>""</f>
        <v/>
      </c>
      <c r="BQ609" s="5" t="str">
        <f>""</f>
        <v/>
      </c>
      <c r="BR609" s="5" t="str">
        <f>""</f>
        <v/>
      </c>
      <c r="BS609" s="5" t="str">
        <f>"68,00"</f>
        <v>68,00</v>
      </c>
      <c r="BT609" s="5" t="str">
        <f>"2015"</f>
        <v>2015</v>
      </c>
      <c r="BU609" s="5" t="str">
        <f t="shared" si="796"/>
        <v>нет</v>
      </c>
      <c r="BV609" s="5" t="str">
        <f t="shared" si="822"/>
        <v>x</v>
      </c>
      <c r="BW609" s="5" t="str">
        <f t="shared" si="822"/>
        <v>x</v>
      </c>
      <c r="BX609" s="5" t="str">
        <f t="shared" si="822"/>
        <v>x</v>
      </c>
      <c r="BY609" s="5" t="str">
        <f t="shared" si="823"/>
        <v>нет</v>
      </c>
      <c r="BZ609" s="5" t="str">
        <f t="shared" si="819"/>
        <v>x</v>
      </c>
      <c r="CA609" s="5" t="str">
        <f t="shared" si="819"/>
        <v>x</v>
      </c>
      <c r="CB609" s="5" t="str">
        <f t="shared" si="819"/>
        <v>x</v>
      </c>
      <c r="CC609" s="5" t="str">
        <f>""</f>
        <v/>
      </c>
      <c r="CD609" s="5" t="str">
        <f>"68,00"</f>
        <v>68,00</v>
      </c>
      <c r="CE609" s="5" t="str">
        <f>"2019"</f>
        <v>2019</v>
      </c>
      <c r="CF609" s="5" t="str">
        <f>""</f>
        <v/>
      </c>
      <c r="CG609" s="5" t="str">
        <f>"65,00"</f>
        <v>65,00</v>
      </c>
      <c r="CH609" s="5" t="str">
        <f>"2019"</f>
        <v>2019</v>
      </c>
      <c r="CI609" s="5" t="str">
        <f>"55,00"</f>
        <v>55,00</v>
      </c>
      <c r="CJ609" s="5" t="str">
        <f>"2019"</f>
        <v>2019</v>
      </c>
    </row>
    <row r="610" spans="1:88" ht="11.25" customHeight="1">
      <c r="A610" s="3" t="str">
        <f>"1.597"</f>
        <v>1.597</v>
      </c>
      <c r="B610" s="4" t="str">
        <f>"пгт. Вохтога, ул. Школьная, д.11"</f>
        <v>пгт. Вохтога, ул. Школьная, д.11</v>
      </c>
      <c r="C610" s="7" t="str">
        <f>"1958"</f>
        <v>1958</v>
      </c>
      <c r="D610" s="5" t="str">
        <f>""</f>
        <v/>
      </c>
      <c r="E610" s="5" t="str">
        <f>"47,00"</f>
        <v>47,00</v>
      </c>
      <c r="F610" s="5" t="str">
        <f>"2027"</f>
        <v>2027</v>
      </c>
      <c r="G610" s="5" t="str">
        <f>"да"</f>
        <v>да</v>
      </c>
      <c r="H610" s="5" t="str">
        <f>"2012"</f>
        <v>2012</v>
      </c>
      <c r="I610" s="5" t="str">
        <f>"5,00"</f>
        <v>5,00</v>
      </c>
      <c r="J610" s="5" t="str">
        <f>"2022"</f>
        <v>2022</v>
      </c>
      <c r="K610" s="5" t="str">
        <f>"да"</f>
        <v>да</v>
      </c>
      <c r="L610" s="5" t="str">
        <f>""</f>
        <v/>
      </c>
      <c r="M610" s="5" t="str">
        <f>"48,00"</f>
        <v>48,00</v>
      </c>
      <c r="N610" s="5" t="str">
        <f>"2027"</f>
        <v>2027</v>
      </c>
      <c r="O610" s="8" t="str">
        <f>""</f>
        <v/>
      </c>
      <c r="P610" s="5" t="str">
        <f>"52,00"</f>
        <v>52,00</v>
      </c>
      <c r="Q610" s="5" t="str">
        <f>"2023"</f>
        <v>2023</v>
      </c>
      <c r="R610" s="5" t="str">
        <f t="shared" si="812"/>
        <v>нет</v>
      </c>
      <c r="S610" s="5" t="str">
        <f>""</f>
        <v/>
      </c>
      <c r="T610" s="5" t="str">
        <f>""</f>
        <v/>
      </c>
      <c r="U610" s="5" t="str">
        <f>""</f>
        <v/>
      </c>
      <c r="V610" s="5" t="str">
        <f t="shared" si="813"/>
        <v>нет</v>
      </c>
      <c r="W610" s="5" t="str">
        <f>""</f>
        <v/>
      </c>
      <c r="X610" s="5" t="str">
        <f>""</f>
        <v/>
      </c>
      <c r="Y610" s="9" t="str">
        <f>""</f>
        <v/>
      </c>
      <c r="Z610" s="5" t="str">
        <f>""</f>
        <v/>
      </c>
      <c r="AA610" s="5" t="str">
        <f>""</f>
        <v/>
      </c>
      <c r="AB610" s="5" t="str">
        <f>""</f>
        <v/>
      </c>
      <c r="AC610" s="5" t="str">
        <f>""</f>
        <v/>
      </c>
      <c r="AD610" s="5" t="str">
        <f>""</f>
        <v/>
      </c>
      <c r="AE610" s="5" t="str">
        <f>""</f>
        <v/>
      </c>
      <c r="AF610" s="5" t="str">
        <f>""</f>
        <v/>
      </c>
      <c r="AG610" s="5" t="str">
        <f>""</f>
        <v/>
      </c>
      <c r="AH610" s="5" t="str">
        <f>""</f>
        <v/>
      </c>
      <c r="AI610" s="5" t="str">
        <f>""</f>
        <v/>
      </c>
      <c r="AJ610" s="5" t="str">
        <f>""</f>
        <v/>
      </c>
      <c r="AK610" s="8" t="str">
        <f>""</f>
        <v/>
      </c>
      <c r="AL610" s="5" t="str">
        <f>"52,00"</f>
        <v>52,00</v>
      </c>
      <c r="AM610" s="5" t="str">
        <f>"2024"</f>
        <v>2024</v>
      </c>
      <c r="AN610" s="5" t="str">
        <f t="shared" si="821"/>
        <v>нет</v>
      </c>
      <c r="AO610" s="5" t="str">
        <f>""</f>
        <v/>
      </c>
      <c r="AP610" s="5" t="str">
        <f>""</f>
        <v/>
      </c>
      <c r="AQ610" s="5" t="str">
        <f>""</f>
        <v/>
      </c>
      <c r="AR610" s="5" t="str">
        <f t="shared" si="817"/>
        <v>нет</v>
      </c>
      <c r="AS610" s="5" t="str">
        <f>""</f>
        <v/>
      </c>
      <c r="AT610" s="5" t="str">
        <f>""</f>
        <v/>
      </c>
      <c r="AU610" s="5" t="str">
        <f>""</f>
        <v/>
      </c>
      <c r="AV610" s="5" t="str">
        <f t="shared" si="824"/>
        <v>х</v>
      </c>
      <c r="AW610" s="5" t="str">
        <f t="shared" si="824"/>
        <v>х</v>
      </c>
      <c r="AX610" s="5" t="str">
        <f t="shared" si="824"/>
        <v>х</v>
      </c>
      <c r="AY610" s="5" t="str">
        <f t="shared" si="824"/>
        <v>х</v>
      </c>
      <c r="AZ610" s="5" t="str">
        <f t="shared" si="824"/>
        <v>х</v>
      </c>
      <c r="BA610" s="5" t="str">
        <f t="shared" si="824"/>
        <v>х</v>
      </c>
      <c r="BB610" s="5" t="str">
        <f t="shared" si="824"/>
        <v>х</v>
      </c>
      <c r="BC610" s="5" t="str">
        <f t="shared" si="824"/>
        <v>х</v>
      </c>
      <c r="BD610" s="5" t="str">
        <f t="shared" si="824"/>
        <v>х</v>
      </c>
      <c r="BE610" s="5" t="str">
        <f t="shared" si="824"/>
        <v>х</v>
      </c>
      <c r="BF610" s="5" t="str">
        <f t="shared" si="824"/>
        <v>х</v>
      </c>
      <c r="BG610" s="5" t="str">
        <f>""</f>
        <v/>
      </c>
      <c r="BH610" s="5" t="str">
        <f>""</f>
        <v/>
      </c>
      <c r="BI610" s="5" t="str">
        <f>""</f>
        <v/>
      </c>
      <c r="BJ610" s="5" t="str">
        <f>""</f>
        <v/>
      </c>
      <c r="BK610" s="5" t="str">
        <f>""</f>
        <v/>
      </c>
      <c r="BL610" s="5" t="str">
        <f>""</f>
        <v/>
      </c>
      <c r="BM610" s="5" t="str">
        <f>""</f>
        <v/>
      </c>
      <c r="BN610" s="5" t="str">
        <f>""</f>
        <v/>
      </c>
      <c r="BO610" s="5" t="str">
        <f>""</f>
        <v/>
      </c>
      <c r="BP610" s="5" t="str">
        <f>""</f>
        <v/>
      </c>
      <c r="BQ610" s="5" t="str">
        <f>""</f>
        <v/>
      </c>
      <c r="BR610" s="5" t="str">
        <f>""</f>
        <v/>
      </c>
      <c r="BS610" s="5" t="str">
        <f>"62,00"</f>
        <v>62,00</v>
      </c>
      <c r="BT610" s="5" t="str">
        <f>"2018"</f>
        <v>2018</v>
      </c>
      <c r="BU610" s="5" t="str">
        <f t="shared" si="796"/>
        <v>нет</v>
      </c>
      <c r="BV610" s="5" t="str">
        <f t="shared" si="822"/>
        <v>x</v>
      </c>
      <c r="BW610" s="5" t="str">
        <f t="shared" si="822"/>
        <v>x</v>
      </c>
      <c r="BX610" s="5" t="str">
        <f t="shared" si="822"/>
        <v>x</v>
      </c>
      <c r="BY610" s="5" t="str">
        <f t="shared" si="823"/>
        <v>нет</v>
      </c>
      <c r="BZ610" s="5" t="str">
        <f t="shared" si="819"/>
        <v>x</v>
      </c>
      <c r="CA610" s="5" t="str">
        <f t="shared" si="819"/>
        <v>x</v>
      </c>
      <c r="CB610" s="5" t="str">
        <f t="shared" si="819"/>
        <v>x</v>
      </c>
      <c r="CC610" s="5" t="str">
        <f>""</f>
        <v/>
      </c>
      <c r="CD610" s="5" t="str">
        <f>"67,00"</f>
        <v>67,00</v>
      </c>
      <c r="CE610" s="5" t="str">
        <f>"2019"</f>
        <v>2019</v>
      </c>
      <c r="CF610" s="5" t="str">
        <f>""</f>
        <v/>
      </c>
      <c r="CG610" s="5" t="str">
        <f>"45,00"</f>
        <v>45,00</v>
      </c>
      <c r="CH610" s="5" t="str">
        <f>"2019"</f>
        <v>2019</v>
      </c>
      <c r="CI610" s="5" t="str">
        <f>"59,00"</f>
        <v>59,00</v>
      </c>
      <c r="CJ610" s="5" t="str">
        <f>"2019"</f>
        <v>2019</v>
      </c>
    </row>
    <row r="611" spans="1:88" ht="11.25" customHeight="1">
      <c r="A611" s="3" t="str">
        <f>"1.598"</f>
        <v>1.598</v>
      </c>
      <c r="B611" s="4" t="str">
        <f>"пгт. Вохтога, ул. Школьная, д.12"</f>
        <v>пгт. Вохтога, ул. Школьная, д.12</v>
      </c>
      <c r="C611" s="7" t="str">
        <f>"1965"</f>
        <v>1965</v>
      </c>
      <c r="D611" s="5" t="str">
        <f>""</f>
        <v/>
      </c>
      <c r="E611" s="5" t="str">
        <f>"35,00"</f>
        <v>35,00</v>
      </c>
      <c r="F611" s="5" t="str">
        <f>"2022"</f>
        <v>2022</v>
      </c>
      <c r="G611" s="5" t="str">
        <f>"да"</f>
        <v>да</v>
      </c>
      <c r="H611" s="5" t="str">
        <f>"2012"</f>
        <v>2012</v>
      </c>
      <c r="I611" s="5" t="str">
        <f>"2,00"</f>
        <v>2,00</v>
      </c>
      <c r="J611" s="5" t="str">
        <f>"2022"</f>
        <v>2022</v>
      </c>
      <c r="K611" s="5" t="str">
        <f>"да"</f>
        <v>да</v>
      </c>
      <c r="L611" s="5" t="str">
        <f>""</f>
        <v/>
      </c>
      <c r="M611" s="5" t="str">
        <f>"35,00"</f>
        <v>35,00</v>
      </c>
      <c r="N611" s="5" t="str">
        <f>"2022"</f>
        <v>2022</v>
      </c>
      <c r="O611" s="8" t="str">
        <f>""</f>
        <v/>
      </c>
      <c r="P611" s="5" t="str">
        <f>"45,00"</f>
        <v>45,00</v>
      </c>
      <c r="Q611" s="5" t="str">
        <f>"2020"</f>
        <v>2020</v>
      </c>
      <c r="R611" s="5" t="str">
        <f t="shared" si="812"/>
        <v>нет</v>
      </c>
      <c r="S611" s="5" t="str">
        <f>""</f>
        <v/>
      </c>
      <c r="T611" s="5" t="str">
        <f>""</f>
        <v/>
      </c>
      <c r="U611" s="5" t="str">
        <f>""</f>
        <v/>
      </c>
      <c r="V611" s="5" t="str">
        <f t="shared" si="813"/>
        <v>нет</v>
      </c>
      <c r="W611" s="5" t="str">
        <f>""</f>
        <v/>
      </c>
      <c r="X611" s="5" t="str">
        <f>""</f>
        <v/>
      </c>
      <c r="Y611" s="9" t="str">
        <f>""</f>
        <v/>
      </c>
      <c r="Z611" s="5" t="str">
        <f>""</f>
        <v/>
      </c>
      <c r="AA611" s="5" t="str">
        <f>""</f>
        <v/>
      </c>
      <c r="AB611" s="5" t="str">
        <f>""</f>
        <v/>
      </c>
      <c r="AC611" s="5" t="str">
        <f>""</f>
        <v/>
      </c>
      <c r="AD611" s="5" t="str">
        <f>""</f>
        <v/>
      </c>
      <c r="AE611" s="5" t="str">
        <f>""</f>
        <v/>
      </c>
      <c r="AF611" s="5" t="str">
        <f>""</f>
        <v/>
      </c>
      <c r="AG611" s="5" t="str">
        <f>""</f>
        <v/>
      </c>
      <c r="AH611" s="5" t="str">
        <f>""</f>
        <v/>
      </c>
      <c r="AI611" s="5" t="str">
        <f>""</f>
        <v/>
      </c>
      <c r="AJ611" s="5" t="str">
        <f>""</f>
        <v/>
      </c>
      <c r="AK611" s="8" t="str">
        <f>""</f>
        <v/>
      </c>
      <c r="AL611" s="5" t="str">
        <f>"35,00"</f>
        <v>35,00</v>
      </c>
      <c r="AM611" s="5" t="str">
        <f>"2025"</f>
        <v>2025</v>
      </c>
      <c r="AN611" s="5" t="str">
        <f t="shared" si="821"/>
        <v>нет</v>
      </c>
      <c r="AO611" s="5" t="str">
        <f>""</f>
        <v/>
      </c>
      <c r="AP611" s="5" t="str">
        <f>""</f>
        <v/>
      </c>
      <c r="AQ611" s="5" t="str">
        <f>""</f>
        <v/>
      </c>
      <c r="AR611" s="5" t="str">
        <f t="shared" si="817"/>
        <v>нет</v>
      </c>
      <c r="AS611" s="5" t="str">
        <f>""</f>
        <v/>
      </c>
      <c r="AT611" s="5" t="str">
        <f>""</f>
        <v/>
      </c>
      <c r="AU611" s="5" t="str">
        <f>""</f>
        <v/>
      </c>
      <c r="AV611" s="5" t="str">
        <f t="shared" si="824"/>
        <v>х</v>
      </c>
      <c r="AW611" s="5" t="str">
        <f t="shared" si="824"/>
        <v>х</v>
      </c>
      <c r="AX611" s="5" t="str">
        <f t="shared" si="824"/>
        <v>х</v>
      </c>
      <c r="AY611" s="5" t="str">
        <f t="shared" si="824"/>
        <v>х</v>
      </c>
      <c r="AZ611" s="5" t="str">
        <f t="shared" si="824"/>
        <v>х</v>
      </c>
      <c r="BA611" s="5" t="str">
        <f t="shared" si="824"/>
        <v>х</v>
      </c>
      <c r="BB611" s="5" t="str">
        <f t="shared" si="824"/>
        <v>х</v>
      </c>
      <c r="BC611" s="5" t="str">
        <f t="shared" si="824"/>
        <v>х</v>
      </c>
      <c r="BD611" s="5" t="str">
        <f t="shared" si="824"/>
        <v>х</v>
      </c>
      <c r="BE611" s="5" t="str">
        <f t="shared" si="824"/>
        <v>х</v>
      </c>
      <c r="BF611" s="5" t="str">
        <f t="shared" si="824"/>
        <v>х</v>
      </c>
      <c r="BG611" s="5" t="str">
        <f>""</f>
        <v/>
      </c>
      <c r="BH611" s="5" t="str">
        <f>""</f>
        <v/>
      </c>
      <c r="BI611" s="5" t="str">
        <f>""</f>
        <v/>
      </c>
      <c r="BJ611" s="5" t="str">
        <f>""</f>
        <v/>
      </c>
      <c r="BK611" s="5" t="str">
        <f>""</f>
        <v/>
      </c>
      <c r="BL611" s="5" t="str">
        <f>""</f>
        <v/>
      </c>
      <c r="BM611" s="5" t="str">
        <f>""</f>
        <v/>
      </c>
      <c r="BN611" s="5" t="str">
        <f>""</f>
        <v/>
      </c>
      <c r="BO611" s="5" t="str">
        <f>""</f>
        <v/>
      </c>
      <c r="BP611" s="5" t="str">
        <f>""</f>
        <v/>
      </c>
      <c r="BQ611" s="5" t="str">
        <f>""</f>
        <v/>
      </c>
      <c r="BR611" s="5" t="str">
        <f>""</f>
        <v/>
      </c>
      <c r="BS611" s="5" t="str">
        <f>"64,00"</f>
        <v>64,00</v>
      </c>
      <c r="BT611" s="5" t="str">
        <f>"2016"</f>
        <v>2016</v>
      </c>
      <c r="BU611" s="5" t="str">
        <f t="shared" si="796"/>
        <v>нет</v>
      </c>
      <c r="BV611" s="5" t="str">
        <f t="shared" si="822"/>
        <v>x</v>
      </c>
      <c r="BW611" s="5" t="str">
        <f t="shared" si="822"/>
        <v>x</v>
      </c>
      <c r="BX611" s="5" t="str">
        <f t="shared" si="822"/>
        <v>x</v>
      </c>
      <c r="BY611" s="5" t="str">
        <f t="shared" si="823"/>
        <v>нет</v>
      </c>
      <c r="BZ611" s="5" t="str">
        <f t="shared" si="819"/>
        <v>x</v>
      </c>
      <c r="CA611" s="5" t="str">
        <f t="shared" si="819"/>
        <v>x</v>
      </c>
      <c r="CB611" s="5" t="str">
        <f t="shared" si="819"/>
        <v>x</v>
      </c>
      <c r="CC611" s="5" t="str">
        <f>""</f>
        <v/>
      </c>
      <c r="CD611" s="5" t="str">
        <f>"65,00"</f>
        <v>65,00</v>
      </c>
      <c r="CE611" s="5" t="str">
        <f>"2021"</f>
        <v>2021</v>
      </c>
      <c r="CF611" s="5" t="str">
        <f>""</f>
        <v/>
      </c>
      <c r="CG611" s="5" t="str">
        <f>"70,00"</f>
        <v>70,00</v>
      </c>
      <c r="CH611" s="5" t="str">
        <f>"2021"</f>
        <v>2021</v>
      </c>
      <c r="CI611" s="5" t="str">
        <f>"59,00"</f>
        <v>59,00</v>
      </c>
      <c r="CJ611" s="5" t="str">
        <f>"2021"</f>
        <v>2021</v>
      </c>
    </row>
    <row r="612" spans="1:88" ht="11.25" customHeight="1">
      <c r="A612" s="3" t="str">
        <f>"1.599"</f>
        <v>1.599</v>
      </c>
      <c r="B612" s="4" t="str">
        <f>"пгт. Вохтога, ул. Школьная, д.15"</f>
        <v>пгт. Вохтога, ул. Школьная, д.15</v>
      </c>
      <c r="C612" s="7" t="str">
        <f>"1961"</f>
        <v>1961</v>
      </c>
      <c r="D612" s="5" t="str">
        <f>""</f>
        <v/>
      </c>
      <c r="E612" s="5" t="str">
        <f>"24,00"</f>
        <v>24,00</v>
      </c>
      <c r="F612" s="5" t="str">
        <f>"2027"</f>
        <v>2027</v>
      </c>
      <c r="G612" s="5" t="str">
        <f>"нет"</f>
        <v>нет</v>
      </c>
      <c r="H612" s="5" t="str">
        <f>""</f>
        <v/>
      </c>
      <c r="I612" s="5" t="str">
        <f>""</f>
        <v/>
      </c>
      <c r="J612" s="5" t="str">
        <f>""</f>
        <v/>
      </c>
      <c r="K612" s="5" t="str">
        <f>"нет"</f>
        <v>нет</v>
      </c>
      <c r="L612" s="5" t="str">
        <f>""</f>
        <v/>
      </c>
      <c r="M612" s="5" t="str">
        <f>""</f>
        <v/>
      </c>
      <c r="N612" s="5" t="str">
        <f>""</f>
        <v/>
      </c>
      <c r="O612" s="8" t="str">
        <f>""</f>
        <v/>
      </c>
      <c r="P612" s="5" t="str">
        <f>"48,00"</f>
        <v>48,00</v>
      </c>
      <c r="Q612" s="5" t="str">
        <f>"2027"</f>
        <v>2027</v>
      </c>
      <c r="R612" s="5" t="str">
        <f t="shared" si="812"/>
        <v>нет</v>
      </c>
      <c r="S612" s="5" t="str">
        <f>""</f>
        <v/>
      </c>
      <c r="T612" s="5" t="str">
        <f>""</f>
        <v/>
      </c>
      <c r="U612" s="5" t="str">
        <f>""</f>
        <v/>
      </c>
      <c r="V612" s="5" t="str">
        <f t="shared" si="813"/>
        <v>нет</v>
      </c>
      <c r="W612" s="5" t="str">
        <f>""</f>
        <v/>
      </c>
      <c r="X612" s="5" t="str">
        <f>""</f>
        <v/>
      </c>
      <c r="Y612" s="9" t="str">
        <f>""</f>
        <v/>
      </c>
      <c r="Z612" s="5" t="str">
        <f>""</f>
        <v/>
      </c>
      <c r="AA612" s="5" t="str">
        <f>""</f>
        <v/>
      </c>
      <c r="AB612" s="5" t="str">
        <f>""</f>
        <v/>
      </c>
      <c r="AC612" s="5" t="str">
        <f>""</f>
        <v/>
      </c>
      <c r="AD612" s="5" t="str">
        <f>""</f>
        <v/>
      </c>
      <c r="AE612" s="5" t="str">
        <f>""</f>
        <v/>
      </c>
      <c r="AF612" s="5" t="str">
        <f>""</f>
        <v/>
      </c>
      <c r="AG612" s="5" t="str">
        <f>""</f>
        <v/>
      </c>
      <c r="AH612" s="5" t="str">
        <f>""</f>
        <v/>
      </c>
      <c r="AI612" s="5" t="str">
        <f>""</f>
        <v/>
      </c>
      <c r="AJ612" s="5" t="str">
        <f>""</f>
        <v/>
      </c>
      <c r="AK612" s="8" t="str">
        <f>""</f>
        <v/>
      </c>
      <c r="AL612" s="5" t="str">
        <f>"52,00"</f>
        <v>52,00</v>
      </c>
      <c r="AM612" s="5" t="str">
        <f>"2027"</f>
        <v>2027</v>
      </c>
      <c r="AN612" s="5" t="str">
        <f t="shared" si="821"/>
        <v>нет</v>
      </c>
      <c r="AO612" s="5" t="str">
        <f>""</f>
        <v/>
      </c>
      <c r="AP612" s="5" t="str">
        <f>""</f>
        <v/>
      </c>
      <c r="AQ612" s="5" t="str">
        <f>""</f>
        <v/>
      </c>
      <c r="AR612" s="5" t="str">
        <f t="shared" si="817"/>
        <v>нет</v>
      </c>
      <c r="AS612" s="5" t="str">
        <f>""</f>
        <v/>
      </c>
      <c r="AT612" s="5" t="str">
        <f>""</f>
        <v/>
      </c>
      <c r="AU612" s="5" t="str">
        <f>""</f>
        <v/>
      </c>
      <c r="AV612" s="5" t="str">
        <f t="shared" si="824"/>
        <v>х</v>
      </c>
      <c r="AW612" s="5" t="str">
        <f t="shared" si="824"/>
        <v>х</v>
      </c>
      <c r="AX612" s="5" t="str">
        <f t="shared" si="824"/>
        <v>х</v>
      </c>
      <c r="AY612" s="5" t="str">
        <f t="shared" si="824"/>
        <v>х</v>
      </c>
      <c r="AZ612" s="5" t="str">
        <f t="shared" si="824"/>
        <v>х</v>
      </c>
      <c r="BA612" s="5" t="str">
        <f t="shared" si="824"/>
        <v>х</v>
      </c>
      <c r="BB612" s="5" t="str">
        <f t="shared" si="824"/>
        <v>х</v>
      </c>
      <c r="BC612" s="5" t="str">
        <f t="shared" si="824"/>
        <v>х</v>
      </c>
      <c r="BD612" s="5" t="str">
        <f t="shared" si="824"/>
        <v>х</v>
      </c>
      <c r="BE612" s="5" t="str">
        <f t="shared" si="824"/>
        <v>х</v>
      </c>
      <c r="BF612" s="5" t="str">
        <f t="shared" si="824"/>
        <v>х</v>
      </c>
      <c r="BG612" s="5" t="str">
        <f>""</f>
        <v/>
      </c>
      <c r="BH612" s="5" t="str">
        <f>""</f>
        <v/>
      </c>
      <c r="BI612" s="5" t="str">
        <f>""</f>
        <v/>
      </c>
      <c r="BJ612" s="5" t="str">
        <f>""</f>
        <v/>
      </c>
      <c r="BK612" s="5" t="str">
        <f>""</f>
        <v/>
      </c>
      <c r="BL612" s="5" t="str">
        <f>""</f>
        <v/>
      </c>
      <c r="BM612" s="5" t="str">
        <f>""</f>
        <v/>
      </c>
      <c r="BN612" s="5" t="str">
        <f>""</f>
        <v/>
      </c>
      <c r="BO612" s="5" t="str">
        <f>""</f>
        <v/>
      </c>
      <c r="BP612" s="5" t="str">
        <f>""</f>
        <v/>
      </c>
      <c r="BQ612" s="5" t="str">
        <f>""</f>
        <v/>
      </c>
      <c r="BR612" s="5" t="str">
        <f>""</f>
        <v/>
      </c>
      <c r="BS612" s="5" t="str">
        <f>"51,00"</f>
        <v>51,00</v>
      </c>
      <c r="BT612" s="5" t="str">
        <f>"2018"</f>
        <v>2018</v>
      </c>
      <c r="BU612" s="5" t="str">
        <f t="shared" si="796"/>
        <v>нет</v>
      </c>
      <c r="BV612" s="5" t="str">
        <f t="shared" si="822"/>
        <v>x</v>
      </c>
      <c r="BW612" s="5" t="str">
        <f t="shared" si="822"/>
        <v>x</v>
      </c>
      <c r="BX612" s="5" t="str">
        <f t="shared" si="822"/>
        <v>x</v>
      </c>
      <c r="BY612" s="5" t="str">
        <f t="shared" si="823"/>
        <v>нет</v>
      </c>
      <c r="BZ612" s="5" t="str">
        <f t="shared" si="819"/>
        <v>x</v>
      </c>
      <c r="CA612" s="5" t="str">
        <f t="shared" si="819"/>
        <v>x</v>
      </c>
      <c r="CB612" s="5" t="str">
        <f t="shared" si="819"/>
        <v>x</v>
      </c>
      <c r="CC612" s="5" t="str">
        <f>""</f>
        <v/>
      </c>
      <c r="CD612" s="5" t="str">
        <f>"58,00"</f>
        <v>58,00</v>
      </c>
      <c r="CE612" s="5" t="str">
        <f>"2020"</f>
        <v>2020</v>
      </c>
      <c r="CF612" s="5" t="str">
        <f>""</f>
        <v/>
      </c>
      <c r="CG612" s="5" t="str">
        <f>"55,00"</f>
        <v>55,00</v>
      </c>
      <c r="CH612" s="5" t="str">
        <f>"2020"</f>
        <v>2020</v>
      </c>
      <c r="CI612" s="5" t="str">
        <f>"51,00"</f>
        <v>51,00</v>
      </c>
      <c r="CJ612" s="5" t="str">
        <f>"2020"</f>
        <v>2020</v>
      </c>
    </row>
    <row r="613" spans="1:88" ht="11.25" customHeight="1">
      <c r="A613" s="3" t="str">
        <f>"1.600"</f>
        <v>1.600</v>
      </c>
      <c r="B613" s="4" t="str">
        <f>"пгт. Вохтога, ул. Школьная, д.16"</f>
        <v>пгт. Вохтога, ул. Школьная, д.16</v>
      </c>
      <c r="C613" s="7" t="str">
        <f>"1965"</f>
        <v>1965</v>
      </c>
      <c r="D613" s="5" t="str">
        <f>""</f>
        <v/>
      </c>
      <c r="E613" s="5" t="str">
        <f>"55,00"</f>
        <v>55,00</v>
      </c>
      <c r="F613" s="5" t="str">
        <f>"2019"</f>
        <v>2019</v>
      </c>
      <c r="G613" s="5" t="str">
        <f>"да"</f>
        <v>да</v>
      </c>
      <c r="H613" s="5" t="str">
        <f>""</f>
        <v/>
      </c>
      <c r="I613" s="5" t="str">
        <f>"10,00"</f>
        <v>10,00</v>
      </c>
      <c r="J613" s="5" t="str">
        <f>"2019"</f>
        <v>2019</v>
      </c>
      <c r="K613" s="5" t="str">
        <f>"да"</f>
        <v>да</v>
      </c>
      <c r="L613" s="5" t="str">
        <f>""</f>
        <v/>
      </c>
      <c r="M613" s="5" t="str">
        <f>"35,00"</f>
        <v>35,00</v>
      </c>
      <c r="N613" s="5" t="str">
        <f>"2019"</f>
        <v>2019</v>
      </c>
      <c r="O613" s="8" t="str">
        <f>""</f>
        <v/>
      </c>
      <c r="P613" s="5" t="str">
        <f>"55,00"</f>
        <v>55,00</v>
      </c>
      <c r="Q613" s="5" t="str">
        <f>"2019"</f>
        <v>2019</v>
      </c>
      <c r="R613" s="5" t="str">
        <f t="shared" si="812"/>
        <v>нет</v>
      </c>
      <c r="S613" s="5" t="str">
        <f>""</f>
        <v/>
      </c>
      <c r="T613" s="5" t="str">
        <f>""</f>
        <v/>
      </c>
      <c r="U613" s="5" t="str">
        <f>""</f>
        <v/>
      </c>
      <c r="V613" s="5" t="str">
        <f t="shared" si="813"/>
        <v>нет</v>
      </c>
      <c r="W613" s="5" t="str">
        <f>""</f>
        <v/>
      </c>
      <c r="X613" s="5" t="str">
        <f>""</f>
        <v/>
      </c>
      <c r="Y613" s="9" t="str">
        <f>""</f>
        <v/>
      </c>
      <c r="Z613" s="5" t="str">
        <f>""</f>
        <v/>
      </c>
      <c r="AA613" s="5" t="str">
        <f>""</f>
        <v/>
      </c>
      <c r="AB613" s="5" t="str">
        <f>""</f>
        <v/>
      </c>
      <c r="AC613" s="5" t="str">
        <f>""</f>
        <v/>
      </c>
      <c r="AD613" s="5" t="str">
        <f>""</f>
        <v/>
      </c>
      <c r="AE613" s="5" t="str">
        <f>""</f>
        <v/>
      </c>
      <c r="AF613" s="5" t="str">
        <f>""</f>
        <v/>
      </c>
      <c r="AG613" s="5" t="str">
        <f>""</f>
        <v/>
      </c>
      <c r="AH613" s="5" t="str">
        <f>""</f>
        <v/>
      </c>
      <c r="AI613" s="5" t="str">
        <f>""</f>
        <v/>
      </c>
      <c r="AJ613" s="5" t="str">
        <f>""</f>
        <v/>
      </c>
      <c r="AK613" s="8" t="str">
        <f>""</f>
        <v/>
      </c>
      <c r="AL613" s="5" t="str">
        <f>"35,00"</f>
        <v>35,00</v>
      </c>
      <c r="AM613" s="5" t="str">
        <f>"2019"</f>
        <v>2019</v>
      </c>
      <c r="AN613" s="5" t="str">
        <f t="shared" si="821"/>
        <v>нет</v>
      </c>
      <c r="AO613" s="5" t="str">
        <f>""</f>
        <v/>
      </c>
      <c r="AP613" s="5" t="str">
        <f>""</f>
        <v/>
      </c>
      <c r="AQ613" s="5" t="str">
        <f>""</f>
        <v/>
      </c>
      <c r="AR613" s="5" t="str">
        <f t="shared" si="817"/>
        <v>нет</v>
      </c>
      <c r="AS613" s="5" t="str">
        <f>""</f>
        <v/>
      </c>
      <c r="AT613" s="5" t="str">
        <f>""</f>
        <v/>
      </c>
      <c r="AU613" s="5" t="str">
        <f>""</f>
        <v/>
      </c>
      <c r="AV613" s="5" t="str">
        <f t="shared" si="824"/>
        <v>х</v>
      </c>
      <c r="AW613" s="5" t="str">
        <f t="shared" si="824"/>
        <v>х</v>
      </c>
      <c r="AX613" s="5" t="str">
        <f t="shared" si="824"/>
        <v>х</v>
      </c>
      <c r="AY613" s="5" t="str">
        <f t="shared" si="824"/>
        <v>х</v>
      </c>
      <c r="AZ613" s="5" t="str">
        <f t="shared" si="824"/>
        <v>х</v>
      </c>
      <c r="BA613" s="5" t="str">
        <f t="shared" si="824"/>
        <v>х</v>
      </c>
      <c r="BB613" s="5" t="str">
        <f t="shared" si="824"/>
        <v>х</v>
      </c>
      <c r="BC613" s="5" t="str">
        <f t="shared" si="824"/>
        <v>х</v>
      </c>
      <c r="BD613" s="5" t="str">
        <f t="shared" si="824"/>
        <v>х</v>
      </c>
      <c r="BE613" s="5" t="str">
        <f t="shared" si="824"/>
        <v>х</v>
      </c>
      <c r="BF613" s="5" t="str">
        <f t="shared" si="824"/>
        <v>х</v>
      </c>
      <c r="BG613" s="5" t="str">
        <f>""</f>
        <v/>
      </c>
      <c r="BH613" s="5" t="str">
        <f>""</f>
        <v/>
      </c>
      <c r="BI613" s="5" t="str">
        <f>""</f>
        <v/>
      </c>
      <c r="BJ613" s="5" t="str">
        <f>""</f>
        <v/>
      </c>
      <c r="BK613" s="5" t="str">
        <f>""</f>
        <v/>
      </c>
      <c r="BL613" s="5" t="str">
        <f>""</f>
        <v/>
      </c>
      <c r="BM613" s="5" t="str">
        <f>""</f>
        <v/>
      </c>
      <c r="BN613" s="5" t="str">
        <f>""</f>
        <v/>
      </c>
      <c r="BO613" s="5" t="str">
        <f>""</f>
        <v/>
      </c>
      <c r="BP613" s="5" t="str">
        <f>""</f>
        <v/>
      </c>
      <c r="BQ613" s="5" t="str">
        <f>""</f>
        <v/>
      </c>
      <c r="BR613" s="5" t="str">
        <f>""</f>
        <v/>
      </c>
      <c r="BS613" s="5" t="str">
        <f>"43,00"</f>
        <v>43,00</v>
      </c>
      <c r="BT613" s="5" t="str">
        <f>"2018"</f>
        <v>2018</v>
      </c>
      <c r="BU613" s="5" t="str">
        <f t="shared" si="796"/>
        <v>нет</v>
      </c>
      <c r="BV613" s="5" t="str">
        <f t="shared" si="822"/>
        <v>x</v>
      </c>
      <c r="BW613" s="5" t="str">
        <f t="shared" si="822"/>
        <v>x</v>
      </c>
      <c r="BX613" s="5" t="str">
        <f t="shared" si="822"/>
        <v>x</v>
      </c>
      <c r="BY613" s="5" t="str">
        <f t="shared" si="823"/>
        <v>нет</v>
      </c>
      <c r="BZ613" s="5" t="str">
        <f t="shared" si="819"/>
        <v>x</v>
      </c>
      <c r="CA613" s="5" t="str">
        <f t="shared" si="819"/>
        <v>x</v>
      </c>
      <c r="CB613" s="5" t="str">
        <f t="shared" si="819"/>
        <v>x</v>
      </c>
      <c r="CC613" s="5" t="str">
        <f>""</f>
        <v/>
      </c>
      <c r="CD613" s="5" t="str">
        <f>"57,00"</f>
        <v>57,00</v>
      </c>
      <c r="CE613" s="5" t="str">
        <f>"2019"</f>
        <v>2019</v>
      </c>
      <c r="CF613" s="5" t="str">
        <f>""</f>
        <v/>
      </c>
      <c r="CG613" s="5" t="str">
        <f>"54,00"</f>
        <v>54,00</v>
      </c>
      <c r="CH613" s="5" t="str">
        <f>"2019"</f>
        <v>2019</v>
      </c>
      <c r="CI613" s="5" t="str">
        <f>"55,00"</f>
        <v>55,00</v>
      </c>
      <c r="CJ613" s="5" t="str">
        <f>"2019"</f>
        <v>2019</v>
      </c>
    </row>
    <row r="614" spans="1:88" ht="11.25" customHeight="1">
      <c r="A614" s="3" t="str">
        <f>"1.601"</f>
        <v>1.601</v>
      </c>
      <c r="B614" s="4" t="str">
        <f>"пгт. Вохтога, ул. Школьная, д.17"</f>
        <v>пгт. Вохтога, ул. Школьная, д.17</v>
      </c>
      <c r="C614" s="7" t="str">
        <f>"1961"</f>
        <v>1961</v>
      </c>
      <c r="D614" s="5" t="str">
        <f>""</f>
        <v/>
      </c>
      <c r="E614" s="5" t="str">
        <f>"35,00"</f>
        <v>35,00</v>
      </c>
      <c r="F614" s="5" t="str">
        <f t="shared" ref="F614:F623" si="825">"2022"</f>
        <v>2022</v>
      </c>
      <c r="G614" s="5" t="str">
        <f>"нет"</f>
        <v>нет</v>
      </c>
      <c r="H614" s="5" t="str">
        <f>""</f>
        <v/>
      </c>
      <c r="I614" s="5" t="str">
        <f>""</f>
        <v/>
      </c>
      <c r="J614" s="5" t="str">
        <f>""</f>
        <v/>
      </c>
      <c r="K614" s="5" t="str">
        <f>"нет"</f>
        <v>нет</v>
      </c>
      <c r="L614" s="5" t="str">
        <f>""</f>
        <v/>
      </c>
      <c r="M614" s="5" t="str">
        <f>""</f>
        <v/>
      </c>
      <c r="N614" s="5" t="str">
        <f>""</f>
        <v/>
      </c>
      <c r="O614" s="8" t="str">
        <f>""</f>
        <v/>
      </c>
      <c r="P614" s="5" t="str">
        <f>"55,00"</f>
        <v>55,00</v>
      </c>
      <c r="Q614" s="5" t="str">
        <f>"2022"</f>
        <v>2022</v>
      </c>
      <c r="R614" s="5" t="str">
        <f t="shared" si="812"/>
        <v>нет</v>
      </c>
      <c r="S614" s="5" t="str">
        <f>""</f>
        <v/>
      </c>
      <c r="T614" s="5" t="str">
        <f>""</f>
        <v/>
      </c>
      <c r="U614" s="5" t="str">
        <f>""</f>
        <v/>
      </c>
      <c r="V614" s="5" t="str">
        <f t="shared" si="813"/>
        <v>нет</v>
      </c>
      <c r="W614" s="5" t="str">
        <f>""</f>
        <v/>
      </c>
      <c r="X614" s="5" t="str">
        <f>""</f>
        <v/>
      </c>
      <c r="Y614" s="9" t="str">
        <f>""</f>
        <v/>
      </c>
      <c r="Z614" s="5" t="str">
        <f>""</f>
        <v/>
      </c>
      <c r="AA614" s="5" t="str">
        <f>""</f>
        <v/>
      </c>
      <c r="AB614" s="5" t="str">
        <f>""</f>
        <v/>
      </c>
      <c r="AC614" s="5" t="str">
        <f>""</f>
        <v/>
      </c>
      <c r="AD614" s="5" t="str">
        <f>""</f>
        <v/>
      </c>
      <c r="AE614" s="5" t="str">
        <f>""</f>
        <v/>
      </c>
      <c r="AF614" s="5" t="str">
        <f>""</f>
        <v/>
      </c>
      <c r="AG614" s="5" t="str">
        <f>""</f>
        <v/>
      </c>
      <c r="AH614" s="5" t="str">
        <f>""</f>
        <v/>
      </c>
      <c r="AI614" s="5" t="str">
        <f>""</f>
        <v/>
      </c>
      <c r="AJ614" s="5" t="str">
        <f>""</f>
        <v/>
      </c>
      <c r="AK614" s="8" t="str">
        <f>""</f>
        <v/>
      </c>
      <c r="AL614" s="5" t="str">
        <f>"40,00"</f>
        <v>40,00</v>
      </c>
      <c r="AM614" s="5" t="str">
        <f>"2022"</f>
        <v>2022</v>
      </c>
      <c r="AN614" s="5" t="str">
        <f t="shared" si="821"/>
        <v>нет</v>
      </c>
      <c r="AO614" s="5" t="str">
        <f>""</f>
        <v/>
      </c>
      <c r="AP614" s="5" t="str">
        <f>""</f>
        <v/>
      </c>
      <c r="AQ614" s="5" t="str">
        <f>""</f>
        <v/>
      </c>
      <c r="AR614" s="5" t="str">
        <f t="shared" si="817"/>
        <v>нет</v>
      </c>
      <c r="AS614" s="5" t="str">
        <f>""</f>
        <v/>
      </c>
      <c r="AT614" s="5" t="str">
        <f>""</f>
        <v/>
      </c>
      <c r="AU614" s="5" t="str">
        <f>""</f>
        <v/>
      </c>
      <c r="AV614" s="5" t="str">
        <f t="shared" si="824"/>
        <v>х</v>
      </c>
      <c r="AW614" s="5" t="str">
        <f t="shared" si="824"/>
        <v>х</v>
      </c>
      <c r="AX614" s="5" t="str">
        <f t="shared" si="824"/>
        <v>х</v>
      </c>
      <c r="AY614" s="5" t="str">
        <f t="shared" si="824"/>
        <v>х</v>
      </c>
      <c r="AZ614" s="5" t="str">
        <f t="shared" si="824"/>
        <v>х</v>
      </c>
      <c r="BA614" s="5" t="str">
        <f t="shared" si="824"/>
        <v>х</v>
      </c>
      <c r="BB614" s="5" t="str">
        <f t="shared" si="824"/>
        <v>х</v>
      </c>
      <c r="BC614" s="5" t="str">
        <f t="shared" si="824"/>
        <v>х</v>
      </c>
      <c r="BD614" s="5" t="str">
        <f t="shared" si="824"/>
        <v>х</v>
      </c>
      <c r="BE614" s="5" t="str">
        <f t="shared" si="824"/>
        <v>х</v>
      </c>
      <c r="BF614" s="5" t="str">
        <f t="shared" si="824"/>
        <v>х</v>
      </c>
      <c r="BG614" s="5" t="str">
        <f>""</f>
        <v/>
      </c>
      <c r="BH614" s="5" t="str">
        <f>""</f>
        <v/>
      </c>
      <c r="BI614" s="5" t="str">
        <f>""</f>
        <v/>
      </c>
      <c r="BJ614" s="5" t="str">
        <f>""</f>
        <v/>
      </c>
      <c r="BK614" s="5" t="str">
        <f>""</f>
        <v/>
      </c>
      <c r="BL614" s="5" t="str">
        <f>""</f>
        <v/>
      </c>
      <c r="BM614" s="5" t="str">
        <f>""</f>
        <v/>
      </c>
      <c r="BN614" s="5" t="str">
        <f>""</f>
        <v/>
      </c>
      <c r="BO614" s="5" t="str">
        <f>""</f>
        <v/>
      </c>
      <c r="BP614" s="5" t="str">
        <f>""</f>
        <v/>
      </c>
      <c r="BQ614" s="5" t="str">
        <f>""</f>
        <v/>
      </c>
      <c r="BR614" s="5" t="str">
        <f>""</f>
        <v/>
      </c>
      <c r="BS614" s="5" t="str">
        <f>"58,00"</f>
        <v>58,00</v>
      </c>
      <c r="BT614" s="5" t="str">
        <f>"2018"</f>
        <v>2018</v>
      </c>
      <c r="BU614" s="5" t="str">
        <f t="shared" si="796"/>
        <v>нет</v>
      </c>
      <c r="BV614" s="5" t="str">
        <f t="shared" si="822"/>
        <v>x</v>
      </c>
      <c r="BW614" s="5" t="str">
        <f t="shared" si="822"/>
        <v>x</v>
      </c>
      <c r="BX614" s="5" t="str">
        <f t="shared" si="822"/>
        <v>x</v>
      </c>
      <c r="BY614" s="5" t="str">
        <f t="shared" si="823"/>
        <v>нет</v>
      </c>
      <c r="BZ614" s="5" t="str">
        <f t="shared" si="819"/>
        <v>x</v>
      </c>
      <c r="CA614" s="5" t="str">
        <f t="shared" si="819"/>
        <v>x</v>
      </c>
      <c r="CB614" s="5" t="str">
        <f t="shared" si="819"/>
        <v>x</v>
      </c>
      <c r="CC614" s="5" t="str">
        <f>""</f>
        <v/>
      </c>
      <c r="CD614" s="5" t="str">
        <f>"64,00"</f>
        <v>64,00</v>
      </c>
      <c r="CE614" s="5" t="str">
        <f>"2022"</f>
        <v>2022</v>
      </c>
      <c r="CF614" s="5" t="str">
        <f>""</f>
        <v/>
      </c>
      <c r="CG614" s="5" t="str">
        <f>"50,00"</f>
        <v>50,00</v>
      </c>
      <c r="CH614" s="5" t="str">
        <f>"2022"</f>
        <v>2022</v>
      </c>
      <c r="CI614" s="5" t="str">
        <f>"58,00"</f>
        <v>58,00</v>
      </c>
      <c r="CJ614" s="5" t="str">
        <f>"2022"</f>
        <v>2022</v>
      </c>
    </row>
    <row r="615" spans="1:88" ht="11.25" customHeight="1">
      <c r="A615" s="3" t="str">
        <f>"1.602"</f>
        <v>1.602</v>
      </c>
      <c r="B615" s="4" t="str">
        <f>"пгт. Вохтога, ул. Школьная, д.18"</f>
        <v>пгт. Вохтога, ул. Школьная, д.18</v>
      </c>
      <c r="C615" s="7" t="str">
        <f>"1965"</f>
        <v>1965</v>
      </c>
      <c r="D615" s="5" t="str">
        <f>""</f>
        <v/>
      </c>
      <c r="E615" s="5" t="str">
        <f>"25,00"</f>
        <v>25,00</v>
      </c>
      <c r="F615" s="5" t="str">
        <f t="shared" si="825"/>
        <v>2022</v>
      </c>
      <c r="G615" s="5" t="str">
        <f t="shared" ref="G615:G636" si="826">"да"</f>
        <v>да</v>
      </c>
      <c r="H615" s="5" t="str">
        <f t="shared" ref="H615:H623" si="827">"2012"</f>
        <v>2012</v>
      </c>
      <c r="I615" s="5" t="str">
        <f t="shared" ref="I615:I623" si="828">"5,00"</f>
        <v>5,00</v>
      </c>
      <c r="J615" s="5" t="str">
        <f t="shared" ref="J615:J623" si="829">"2022"</f>
        <v>2022</v>
      </c>
      <c r="K615" s="5" t="str">
        <f t="shared" ref="K615:K629" si="830">"да"</f>
        <v>да</v>
      </c>
      <c r="L615" s="5" t="str">
        <f>""</f>
        <v/>
      </c>
      <c r="M615" s="5" t="str">
        <f>"25,00"</f>
        <v>25,00</v>
      </c>
      <c r="N615" s="5" t="str">
        <f t="shared" ref="N615:N623" si="831">"2022"</f>
        <v>2022</v>
      </c>
      <c r="O615" s="8" t="str">
        <f>""</f>
        <v/>
      </c>
      <c r="P615" s="5" t="str">
        <f>"38,00"</f>
        <v>38,00</v>
      </c>
      <c r="Q615" s="5" t="str">
        <f>"2021"</f>
        <v>2021</v>
      </c>
      <c r="R615" s="5" t="str">
        <f t="shared" si="812"/>
        <v>нет</v>
      </c>
      <c r="S615" s="5" t="str">
        <f>""</f>
        <v/>
      </c>
      <c r="T615" s="5" t="str">
        <f>""</f>
        <v/>
      </c>
      <c r="U615" s="5" t="str">
        <f>""</f>
        <v/>
      </c>
      <c r="V615" s="5" t="str">
        <f t="shared" si="813"/>
        <v>нет</v>
      </c>
      <c r="W615" s="5" t="str">
        <f>""</f>
        <v/>
      </c>
      <c r="X615" s="5" t="str">
        <f>""</f>
        <v/>
      </c>
      <c r="Y615" s="9" t="str">
        <f>""</f>
        <v/>
      </c>
      <c r="Z615" s="5" t="str">
        <f>""</f>
        <v/>
      </c>
      <c r="AA615" s="5" t="str">
        <f>""</f>
        <v/>
      </c>
      <c r="AB615" s="5" t="str">
        <f>""</f>
        <v/>
      </c>
      <c r="AC615" s="5" t="str">
        <f>""</f>
        <v/>
      </c>
      <c r="AD615" s="5" t="str">
        <f>""</f>
        <v/>
      </c>
      <c r="AE615" s="5" t="str">
        <f>""</f>
        <v/>
      </c>
      <c r="AF615" s="5" t="str">
        <f>""</f>
        <v/>
      </c>
      <c r="AG615" s="5" t="str">
        <f>""</f>
        <v/>
      </c>
      <c r="AH615" s="5" t="str">
        <f>""</f>
        <v/>
      </c>
      <c r="AI615" s="5" t="str">
        <f>""</f>
        <v/>
      </c>
      <c r="AJ615" s="5" t="str">
        <f>""</f>
        <v/>
      </c>
      <c r="AK615" s="8" t="str">
        <f>""</f>
        <v/>
      </c>
      <c r="AL615" s="5" t="str">
        <f>"38,00"</f>
        <v>38,00</v>
      </c>
      <c r="AM615" s="5" t="str">
        <f>"2021"</f>
        <v>2021</v>
      </c>
      <c r="AN615" s="5" t="str">
        <f t="shared" si="821"/>
        <v>нет</v>
      </c>
      <c r="AO615" s="5" t="str">
        <f>""</f>
        <v/>
      </c>
      <c r="AP615" s="5" t="str">
        <f>""</f>
        <v/>
      </c>
      <c r="AQ615" s="5" t="str">
        <f>""</f>
        <v/>
      </c>
      <c r="AR615" s="5" t="str">
        <f t="shared" si="817"/>
        <v>нет</v>
      </c>
      <c r="AS615" s="5" t="str">
        <f>""</f>
        <v/>
      </c>
      <c r="AT615" s="5" t="str">
        <f>""</f>
        <v/>
      </c>
      <c r="AU615" s="5" t="str">
        <f>""</f>
        <v/>
      </c>
      <c r="AV615" s="5" t="str">
        <f t="shared" si="824"/>
        <v>х</v>
      </c>
      <c r="AW615" s="5" t="str">
        <f t="shared" si="824"/>
        <v>х</v>
      </c>
      <c r="AX615" s="5" t="str">
        <f t="shared" si="824"/>
        <v>х</v>
      </c>
      <c r="AY615" s="5" t="str">
        <f t="shared" si="824"/>
        <v>х</v>
      </c>
      <c r="AZ615" s="5" t="str">
        <f t="shared" si="824"/>
        <v>х</v>
      </c>
      <c r="BA615" s="5" t="str">
        <f t="shared" si="824"/>
        <v>х</v>
      </c>
      <c r="BB615" s="5" t="str">
        <f t="shared" si="824"/>
        <v>х</v>
      </c>
      <c r="BC615" s="5" t="str">
        <f t="shared" si="824"/>
        <v>х</v>
      </c>
      <c r="BD615" s="5" t="str">
        <f t="shared" si="824"/>
        <v>х</v>
      </c>
      <c r="BE615" s="5" t="str">
        <f t="shared" si="824"/>
        <v>х</v>
      </c>
      <c r="BF615" s="5" t="str">
        <f t="shared" si="824"/>
        <v>х</v>
      </c>
      <c r="BG615" s="5" t="str">
        <f>""</f>
        <v/>
      </c>
      <c r="BH615" s="5" t="str">
        <f>""</f>
        <v/>
      </c>
      <c r="BI615" s="5" t="str">
        <f>""</f>
        <v/>
      </c>
      <c r="BJ615" s="5" t="str">
        <f>""</f>
        <v/>
      </c>
      <c r="BK615" s="5" t="str">
        <f>""</f>
        <v/>
      </c>
      <c r="BL615" s="5" t="str">
        <f>""</f>
        <v/>
      </c>
      <c r="BM615" s="5" t="str">
        <f>""</f>
        <v/>
      </c>
      <c r="BN615" s="5" t="str">
        <f>""</f>
        <v/>
      </c>
      <c r="BO615" s="5" t="str">
        <f>""</f>
        <v/>
      </c>
      <c r="BP615" s="5" t="str">
        <f>""</f>
        <v/>
      </c>
      <c r="BQ615" s="5" t="str">
        <f>""</f>
        <v/>
      </c>
      <c r="BR615" s="5" t="str">
        <f>""</f>
        <v/>
      </c>
      <c r="BS615" s="5" t="str">
        <f>"41,00"</f>
        <v>41,00</v>
      </c>
      <c r="BT615" s="5" t="str">
        <f>"2018"</f>
        <v>2018</v>
      </c>
      <c r="BU615" s="5" t="str">
        <f t="shared" si="796"/>
        <v>нет</v>
      </c>
      <c r="BV615" s="5" t="str">
        <f t="shared" si="822"/>
        <v>x</v>
      </c>
      <c r="BW615" s="5" t="str">
        <f t="shared" si="822"/>
        <v>x</v>
      </c>
      <c r="BX615" s="5" t="str">
        <f t="shared" si="822"/>
        <v>x</v>
      </c>
      <c r="BY615" s="5" t="str">
        <f t="shared" si="823"/>
        <v>нет</v>
      </c>
      <c r="BZ615" s="5" t="str">
        <f t="shared" si="819"/>
        <v>x</v>
      </c>
      <c r="CA615" s="5" t="str">
        <f t="shared" si="819"/>
        <v>x</v>
      </c>
      <c r="CB615" s="5" t="str">
        <f t="shared" si="819"/>
        <v>x</v>
      </c>
      <c r="CC615" s="5" t="str">
        <f>""</f>
        <v/>
      </c>
      <c r="CD615" s="5" t="str">
        <f>"50,00"</f>
        <v>50,00</v>
      </c>
      <c r="CE615" s="5" t="str">
        <f>"2022"</f>
        <v>2022</v>
      </c>
      <c r="CF615" s="5" t="str">
        <f>""</f>
        <v/>
      </c>
      <c r="CG615" s="5" t="str">
        <f>"35,00"</f>
        <v>35,00</v>
      </c>
      <c r="CH615" s="5" t="str">
        <f>"2022"</f>
        <v>2022</v>
      </c>
      <c r="CI615" s="5" t="str">
        <f>"59,00"</f>
        <v>59,00</v>
      </c>
      <c r="CJ615" s="5" t="str">
        <f>"2022"</f>
        <v>2022</v>
      </c>
    </row>
    <row r="616" spans="1:88" ht="11.25" customHeight="1">
      <c r="A616" s="3" t="str">
        <f>"1.603"</f>
        <v>1.603</v>
      </c>
      <c r="B616" s="4" t="str">
        <f>"пгт. Вохтога, ул. Школьная, д.2"</f>
        <v>пгт. Вохтога, ул. Школьная, д.2</v>
      </c>
      <c r="C616" s="7" t="str">
        <f>"1963"</f>
        <v>1963</v>
      </c>
      <c r="D616" s="5" t="str">
        <f>""</f>
        <v/>
      </c>
      <c r="E616" s="5" t="str">
        <f>"35,00"</f>
        <v>35,00</v>
      </c>
      <c r="F616" s="5" t="str">
        <f t="shared" si="825"/>
        <v>2022</v>
      </c>
      <c r="G616" s="5" t="str">
        <f t="shared" si="826"/>
        <v>да</v>
      </c>
      <c r="H616" s="5" t="str">
        <f t="shared" si="827"/>
        <v>2012</v>
      </c>
      <c r="I616" s="5" t="str">
        <f t="shared" si="828"/>
        <v>5,00</v>
      </c>
      <c r="J616" s="5" t="str">
        <f t="shared" si="829"/>
        <v>2022</v>
      </c>
      <c r="K616" s="5" t="str">
        <f t="shared" si="830"/>
        <v>да</v>
      </c>
      <c r="L616" s="5" t="str">
        <f>""</f>
        <v/>
      </c>
      <c r="M616" s="5" t="str">
        <f>"35,00"</f>
        <v>35,00</v>
      </c>
      <c r="N616" s="5" t="str">
        <f t="shared" si="831"/>
        <v>2022</v>
      </c>
      <c r="O616" s="8" t="str">
        <f>""</f>
        <v/>
      </c>
      <c r="P616" s="5" t="str">
        <f>"40,00"</f>
        <v>40,00</v>
      </c>
      <c r="Q616" s="5" t="str">
        <f>"2023"</f>
        <v>2023</v>
      </c>
      <c r="R616" s="5" t="str">
        <f t="shared" si="812"/>
        <v>нет</v>
      </c>
      <c r="S616" s="5" t="str">
        <f>""</f>
        <v/>
      </c>
      <c r="T616" s="5" t="str">
        <f>""</f>
        <v/>
      </c>
      <c r="U616" s="5" t="str">
        <f>""</f>
        <v/>
      </c>
      <c r="V616" s="5" t="str">
        <f t="shared" si="813"/>
        <v>нет</v>
      </c>
      <c r="W616" s="5" t="str">
        <f>""</f>
        <v/>
      </c>
      <c r="X616" s="5" t="str">
        <f>""</f>
        <v/>
      </c>
      <c r="Y616" s="9" t="str">
        <f>""</f>
        <v/>
      </c>
      <c r="Z616" s="5" t="str">
        <f>""</f>
        <v/>
      </c>
      <c r="AA616" s="5" t="str">
        <f>""</f>
        <v/>
      </c>
      <c r="AB616" s="5" t="str">
        <f>""</f>
        <v/>
      </c>
      <c r="AC616" s="5" t="str">
        <f>""</f>
        <v/>
      </c>
      <c r="AD616" s="5" t="str">
        <f>""</f>
        <v/>
      </c>
      <c r="AE616" s="5" t="str">
        <f>""</f>
        <v/>
      </c>
      <c r="AF616" s="5" t="str">
        <f>""</f>
        <v/>
      </c>
      <c r="AG616" s="5" t="str">
        <f>""</f>
        <v/>
      </c>
      <c r="AH616" s="5" t="str">
        <f>""</f>
        <v/>
      </c>
      <c r="AI616" s="5" t="str">
        <f>""</f>
        <v/>
      </c>
      <c r="AJ616" s="5" t="str">
        <f>""</f>
        <v/>
      </c>
      <c r="AK616" s="8" t="str">
        <f>""</f>
        <v/>
      </c>
      <c r="AL616" s="5" t="str">
        <f>"35,00"</f>
        <v>35,00</v>
      </c>
      <c r="AM616" s="5" t="str">
        <f>"2023"</f>
        <v>2023</v>
      </c>
      <c r="AN616" s="5" t="str">
        <f t="shared" si="821"/>
        <v>нет</v>
      </c>
      <c r="AO616" s="5" t="str">
        <f>""</f>
        <v/>
      </c>
      <c r="AP616" s="5" t="str">
        <f>""</f>
        <v/>
      </c>
      <c r="AQ616" s="5" t="str">
        <f>""</f>
        <v/>
      </c>
      <c r="AR616" s="5" t="str">
        <f t="shared" si="817"/>
        <v>нет</v>
      </c>
      <c r="AS616" s="5" t="str">
        <f>""</f>
        <v/>
      </c>
      <c r="AT616" s="5" t="str">
        <f>""</f>
        <v/>
      </c>
      <c r="AU616" s="5" t="str">
        <f>""</f>
        <v/>
      </c>
      <c r="AV616" s="5" t="str">
        <f t="shared" si="824"/>
        <v>х</v>
      </c>
      <c r="AW616" s="5" t="str">
        <f t="shared" si="824"/>
        <v>х</v>
      </c>
      <c r="AX616" s="5" t="str">
        <f t="shared" si="824"/>
        <v>х</v>
      </c>
      <c r="AY616" s="5" t="str">
        <f t="shared" si="824"/>
        <v>х</v>
      </c>
      <c r="AZ616" s="5" t="str">
        <f t="shared" si="824"/>
        <v>х</v>
      </c>
      <c r="BA616" s="5" t="str">
        <f t="shared" si="824"/>
        <v>х</v>
      </c>
      <c r="BB616" s="5" t="str">
        <f t="shared" si="824"/>
        <v>х</v>
      </c>
      <c r="BC616" s="5" t="str">
        <f t="shared" si="824"/>
        <v>х</v>
      </c>
      <c r="BD616" s="5" t="str">
        <f t="shared" si="824"/>
        <v>х</v>
      </c>
      <c r="BE616" s="5" t="str">
        <f t="shared" si="824"/>
        <v>х</v>
      </c>
      <c r="BF616" s="5" t="str">
        <f t="shared" si="824"/>
        <v>х</v>
      </c>
      <c r="BG616" s="5" t="str">
        <f>""</f>
        <v/>
      </c>
      <c r="BH616" s="5" t="str">
        <f>""</f>
        <v/>
      </c>
      <c r="BI616" s="5" t="str">
        <f>""</f>
        <v/>
      </c>
      <c r="BJ616" s="5" t="str">
        <f>""</f>
        <v/>
      </c>
      <c r="BK616" s="5" t="str">
        <f>""</f>
        <v/>
      </c>
      <c r="BL616" s="5" t="str">
        <f>""</f>
        <v/>
      </c>
      <c r="BM616" s="5" t="str">
        <f>""</f>
        <v/>
      </c>
      <c r="BN616" s="5" t="str">
        <f>""</f>
        <v/>
      </c>
      <c r="BO616" s="5" t="str">
        <f>""</f>
        <v/>
      </c>
      <c r="BP616" s="5" t="str">
        <f>""</f>
        <v/>
      </c>
      <c r="BQ616" s="5" t="str">
        <f>""</f>
        <v/>
      </c>
      <c r="BR616" s="5" t="str">
        <f>""</f>
        <v/>
      </c>
      <c r="BS616" s="5" t="str">
        <f>"42,00"</f>
        <v>42,00</v>
      </c>
      <c r="BT616" s="5" t="str">
        <f>"2016"</f>
        <v>2016</v>
      </c>
      <c r="BU616" s="5" t="str">
        <f t="shared" si="796"/>
        <v>нет</v>
      </c>
      <c r="BV616" s="5" t="str">
        <f t="shared" si="822"/>
        <v>x</v>
      </c>
      <c r="BW616" s="5" t="str">
        <f t="shared" si="822"/>
        <v>x</v>
      </c>
      <c r="BX616" s="5" t="str">
        <f t="shared" si="822"/>
        <v>x</v>
      </c>
      <c r="BY616" s="5" t="str">
        <f t="shared" si="823"/>
        <v>нет</v>
      </c>
      <c r="BZ616" s="5" t="str">
        <f t="shared" si="819"/>
        <v>x</v>
      </c>
      <c r="CA616" s="5" t="str">
        <f t="shared" si="819"/>
        <v>x</v>
      </c>
      <c r="CB616" s="5" t="str">
        <f t="shared" si="819"/>
        <v>x</v>
      </c>
      <c r="CC616" s="5" t="str">
        <f>""</f>
        <v/>
      </c>
      <c r="CD616" s="5" t="str">
        <f>"46,00"</f>
        <v>46,00</v>
      </c>
      <c r="CE616" s="5" t="str">
        <f>"2025"</f>
        <v>2025</v>
      </c>
      <c r="CF616" s="5" t="str">
        <f>""</f>
        <v/>
      </c>
      <c r="CG616" s="5" t="str">
        <f>"48,00"</f>
        <v>48,00</v>
      </c>
      <c r="CH616" s="5" t="str">
        <f>"2025"</f>
        <v>2025</v>
      </c>
      <c r="CI616" s="5" t="str">
        <f>"62,00"</f>
        <v>62,00</v>
      </c>
      <c r="CJ616" s="5" t="str">
        <f>"2025"</f>
        <v>2025</v>
      </c>
    </row>
    <row r="617" spans="1:88" ht="11.25" customHeight="1">
      <c r="A617" s="3" t="str">
        <f>"1.604"</f>
        <v>1.604</v>
      </c>
      <c r="B617" s="4" t="str">
        <f>"пгт. Вохтога, ул. Школьная, д.20"</f>
        <v>пгт. Вохтога, ул. Школьная, д.20</v>
      </c>
      <c r="C617" s="7" t="str">
        <f>"1964"</f>
        <v>1964</v>
      </c>
      <c r="D617" s="5" t="str">
        <f>""</f>
        <v/>
      </c>
      <c r="E617" s="5" t="str">
        <f>"35,00"</f>
        <v>35,00</v>
      </c>
      <c r="F617" s="5" t="str">
        <f t="shared" si="825"/>
        <v>2022</v>
      </c>
      <c r="G617" s="5" t="str">
        <f t="shared" si="826"/>
        <v>да</v>
      </c>
      <c r="H617" s="5" t="str">
        <f t="shared" si="827"/>
        <v>2012</v>
      </c>
      <c r="I617" s="5" t="str">
        <f t="shared" si="828"/>
        <v>5,00</v>
      </c>
      <c r="J617" s="5" t="str">
        <f t="shared" si="829"/>
        <v>2022</v>
      </c>
      <c r="K617" s="5" t="str">
        <f t="shared" si="830"/>
        <v>да</v>
      </c>
      <c r="L617" s="5" t="str">
        <f>""</f>
        <v/>
      </c>
      <c r="M617" s="5" t="str">
        <f>"35,00"</f>
        <v>35,00</v>
      </c>
      <c r="N617" s="5" t="str">
        <f t="shared" si="831"/>
        <v>2022</v>
      </c>
      <c r="O617" s="8" t="str">
        <f>""</f>
        <v/>
      </c>
      <c r="P617" s="5" t="str">
        <f>"35,00"</f>
        <v>35,00</v>
      </c>
      <c r="Q617" s="5" t="str">
        <f>"2023"</f>
        <v>2023</v>
      </c>
      <c r="R617" s="5" t="str">
        <f t="shared" si="812"/>
        <v>нет</v>
      </c>
      <c r="S617" s="5" t="str">
        <f>""</f>
        <v/>
      </c>
      <c r="T617" s="5" t="str">
        <f>""</f>
        <v/>
      </c>
      <c r="U617" s="5" t="str">
        <f>""</f>
        <v/>
      </c>
      <c r="V617" s="5" t="str">
        <f t="shared" si="813"/>
        <v>нет</v>
      </c>
      <c r="W617" s="5" t="str">
        <f>""</f>
        <v/>
      </c>
      <c r="X617" s="5" t="str">
        <f>""</f>
        <v/>
      </c>
      <c r="Y617" s="9" t="str">
        <f>""</f>
        <v/>
      </c>
      <c r="Z617" s="5" t="str">
        <f>""</f>
        <v/>
      </c>
      <c r="AA617" s="5" t="str">
        <f>""</f>
        <v/>
      </c>
      <c r="AB617" s="5" t="str">
        <f>""</f>
        <v/>
      </c>
      <c r="AC617" s="5" t="str">
        <f>""</f>
        <v/>
      </c>
      <c r="AD617" s="5" t="str">
        <f>""</f>
        <v/>
      </c>
      <c r="AE617" s="5" t="str">
        <f>""</f>
        <v/>
      </c>
      <c r="AF617" s="5" t="str">
        <f>""</f>
        <v/>
      </c>
      <c r="AG617" s="5" t="str">
        <f>""</f>
        <v/>
      </c>
      <c r="AH617" s="5" t="str">
        <f>""</f>
        <v/>
      </c>
      <c r="AI617" s="5" t="str">
        <f>""</f>
        <v/>
      </c>
      <c r="AJ617" s="5" t="str">
        <f>""</f>
        <v/>
      </c>
      <c r="AK617" s="8" t="str">
        <f>""</f>
        <v/>
      </c>
      <c r="AL617" s="5" t="str">
        <f>"33,00"</f>
        <v>33,00</v>
      </c>
      <c r="AM617" s="5" t="str">
        <f>"2023"</f>
        <v>2023</v>
      </c>
      <c r="AN617" s="5" t="str">
        <f t="shared" si="821"/>
        <v>нет</v>
      </c>
      <c r="AO617" s="5" t="str">
        <f>""</f>
        <v/>
      </c>
      <c r="AP617" s="5" t="str">
        <f>""</f>
        <v/>
      </c>
      <c r="AQ617" s="5" t="str">
        <f>""</f>
        <v/>
      </c>
      <c r="AR617" s="5" t="str">
        <f t="shared" si="817"/>
        <v>нет</v>
      </c>
      <c r="AS617" s="5" t="str">
        <f>""</f>
        <v/>
      </c>
      <c r="AT617" s="5" t="str">
        <f>""</f>
        <v/>
      </c>
      <c r="AU617" s="5" t="str">
        <f>""</f>
        <v/>
      </c>
      <c r="AV617" s="5" t="str">
        <f t="shared" si="824"/>
        <v>х</v>
      </c>
      <c r="AW617" s="5" t="str">
        <f t="shared" si="824"/>
        <v>х</v>
      </c>
      <c r="AX617" s="5" t="str">
        <f t="shared" si="824"/>
        <v>х</v>
      </c>
      <c r="AY617" s="5" t="str">
        <f t="shared" si="824"/>
        <v>х</v>
      </c>
      <c r="AZ617" s="5" t="str">
        <f t="shared" si="824"/>
        <v>х</v>
      </c>
      <c r="BA617" s="5" t="str">
        <f t="shared" si="824"/>
        <v>х</v>
      </c>
      <c r="BB617" s="5" t="str">
        <f t="shared" si="824"/>
        <v>х</v>
      </c>
      <c r="BC617" s="5" t="str">
        <f t="shared" si="824"/>
        <v>х</v>
      </c>
      <c r="BD617" s="5" t="str">
        <f t="shared" si="824"/>
        <v>х</v>
      </c>
      <c r="BE617" s="5" t="str">
        <f t="shared" si="824"/>
        <v>х</v>
      </c>
      <c r="BF617" s="5" t="str">
        <f t="shared" si="824"/>
        <v>х</v>
      </c>
      <c r="BG617" s="5" t="str">
        <f>""</f>
        <v/>
      </c>
      <c r="BH617" s="5" t="str">
        <f>""</f>
        <v/>
      </c>
      <c r="BI617" s="5" t="str">
        <f>""</f>
        <v/>
      </c>
      <c r="BJ617" s="5" t="str">
        <f>""</f>
        <v/>
      </c>
      <c r="BK617" s="5" t="str">
        <f>""</f>
        <v/>
      </c>
      <c r="BL617" s="5" t="str">
        <f>""</f>
        <v/>
      </c>
      <c r="BM617" s="5" t="str">
        <f>""</f>
        <v/>
      </c>
      <c r="BN617" s="5" t="str">
        <f>""</f>
        <v/>
      </c>
      <c r="BO617" s="5" t="str">
        <f>""</f>
        <v/>
      </c>
      <c r="BP617" s="5" t="str">
        <f>""</f>
        <v/>
      </c>
      <c r="BQ617" s="5" t="str">
        <f>""</f>
        <v/>
      </c>
      <c r="BR617" s="5" t="str">
        <f>""</f>
        <v/>
      </c>
      <c r="BS617" s="5" t="str">
        <f>"45,00"</f>
        <v>45,00</v>
      </c>
      <c r="BT617" s="5" t="str">
        <f>"2018"</f>
        <v>2018</v>
      </c>
      <c r="BU617" s="5" t="str">
        <f t="shared" si="796"/>
        <v>нет</v>
      </c>
      <c r="BV617" s="5" t="str">
        <f t="shared" si="822"/>
        <v>x</v>
      </c>
      <c r="BW617" s="5" t="str">
        <f t="shared" si="822"/>
        <v>x</v>
      </c>
      <c r="BX617" s="5" t="str">
        <f t="shared" si="822"/>
        <v>x</v>
      </c>
      <c r="BY617" s="5" t="str">
        <f t="shared" si="823"/>
        <v>нет</v>
      </c>
      <c r="BZ617" s="5" t="str">
        <f t="shared" si="819"/>
        <v>x</v>
      </c>
      <c r="CA617" s="5" t="str">
        <f t="shared" si="819"/>
        <v>x</v>
      </c>
      <c r="CB617" s="5" t="str">
        <f t="shared" si="819"/>
        <v>x</v>
      </c>
      <c r="CC617" s="5" t="str">
        <f>""</f>
        <v/>
      </c>
      <c r="CD617" s="5" t="str">
        <f>"48,00"</f>
        <v>48,00</v>
      </c>
      <c r="CE617" s="5" t="str">
        <f>"2023"</f>
        <v>2023</v>
      </c>
      <c r="CF617" s="5" t="str">
        <f>""</f>
        <v/>
      </c>
      <c r="CG617" s="5" t="str">
        <f>"25,00"</f>
        <v>25,00</v>
      </c>
      <c r="CH617" s="5" t="str">
        <f>"2023"</f>
        <v>2023</v>
      </c>
      <c r="CI617" s="5" t="str">
        <f>"58,00"</f>
        <v>58,00</v>
      </c>
      <c r="CJ617" s="5" t="str">
        <f>"2023"</f>
        <v>2023</v>
      </c>
    </row>
    <row r="618" spans="1:88" ht="11.25" customHeight="1">
      <c r="A618" s="3" t="str">
        <f>"1.605"</f>
        <v>1.605</v>
      </c>
      <c r="B618" s="4" t="str">
        <f>"пгт. Вохтога, ул. Школьная, д.22"</f>
        <v>пгт. Вохтога, ул. Школьная, д.22</v>
      </c>
      <c r="C618" s="7" t="str">
        <f>"1962"</f>
        <v>1962</v>
      </c>
      <c r="D618" s="5" t="str">
        <f>""</f>
        <v/>
      </c>
      <c r="E618" s="5" t="str">
        <f>"35,00"</f>
        <v>35,00</v>
      </c>
      <c r="F618" s="5" t="str">
        <f t="shared" si="825"/>
        <v>2022</v>
      </c>
      <c r="G618" s="5" t="str">
        <f t="shared" si="826"/>
        <v>да</v>
      </c>
      <c r="H618" s="5" t="str">
        <f t="shared" si="827"/>
        <v>2012</v>
      </c>
      <c r="I618" s="5" t="str">
        <f t="shared" si="828"/>
        <v>5,00</v>
      </c>
      <c r="J618" s="5" t="str">
        <f t="shared" si="829"/>
        <v>2022</v>
      </c>
      <c r="K618" s="5" t="str">
        <f t="shared" si="830"/>
        <v>да</v>
      </c>
      <c r="L618" s="5" t="str">
        <f>""</f>
        <v/>
      </c>
      <c r="M618" s="5" t="str">
        <f>"35,00"</f>
        <v>35,00</v>
      </c>
      <c r="N618" s="5" t="str">
        <f t="shared" si="831"/>
        <v>2022</v>
      </c>
      <c r="O618" s="8" t="str">
        <f>""</f>
        <v/>
      </c>
      <c r="P618" s="5" t="str">
        <f>"62,00"</f>
        <v>62,00</v>
      </c>
      <c r="Q618" s="5" t="str">
        <f>"2023"</f>
        <v>2023</v>
      </c>
      <c r="R618" s="5" t="str">
        <f t="shared" si="812"/>
        <v>нет</v>
      </c>
      <c r="S618" s="5" t="str">
        <f>""</f>
        <v/>
      </c>
      <c r="T618" s="5" t="str">
        <f>""</f>
        <v/>
      </c>
      <c r="U618" s="5" t="str">
        <f>""</f>
        <v/>
      </c>
      <c r="V618" s="5" t="str">
        <f t="shared" si="813"/>
        <v>нет</v>
      </c>
      <c r="W618" s="5" t="str">
        <f>""</f>
        <v/>
      </c>
      <c r="X618" s="5" t="str">
        <f>""</f>
        <v/>
      </c>
      <c r="Y618" s="9" t="str">
        <f>""</f>
        <v/>
      </c>
      <c r="Z618" s="5" t="str">
        <f>""</f>
        <v/>
      </c>
      <c r="AA618" s="5" t="str">
        <f>""</f>
        <v/>
      </c>
      <c r="AB618" s="5" t="str">
        <f>""</f>
        <v/>
      </c>
      <c r="AC618" s="5" t="str">
        <f>""</f>
        <v/>
      </c>
      <c r="AD618" s="5" t="str">
        <f>""</f>
        <v/>
      </c>
      <c r="AE618" s="5" t="str">
        <f>""</f>
        <v/>
      </c>
      <c r="AF618" s="5" t="str">
        <f>""</f>
        <v/>
      </c>
      <c r="AG618" s="5" t="str">
        <f>""</f>
        <v/>
      </c>
      <c r="AH618" s="5" t="str">
        <f>""</f>
        <v/>
      </c>
      <c r="AI618" s="5" t="str">
        <f>""</f>
        <v/>
      </c>
      <c r="AJ618" s="5" t="str">
        <f>""</f>
        <v/>
      </c>
      <c r="AK618" s="8" t="str">
        <f>""</f>
        <v/>
      </c>
      <c r="AL618" s="5" t="str">
        <f>"35,00"</f>
        <v>35,00</v>
      </c>
      <c r="AM618" s="5" t="str">
        <f>"2023"</f>
        <v>2023</v>
      </c>
      <c r="AN618" s="5" t="str">
        <f t="shared" si="821"/>
        <v>нет</v>
      </c>
      <c r="AO618" s="5" t="str">
        <f>""</f>
        <v/>
      </c>
      <c r="AP618" s="5" t="str">
        <f>""</f>
        <v/>
      </c>
      <c r="AQ618" s="5" t="str">
        <f>""</f>
        <v/>
      </c>
      <c r="AR618" s="5" t="str">
        <f t="shared" si="817"/>
        <v>нет</v>
      </c>
      <c r="AS618" s="5" t="str">
        <f>""</f>
        <v/>
      </c>
      <c r="AT618" s="5" t="str">
        <f>""</f>
        <v/>
      </c>
      <c r="AU618" s="5" t="str">
        <f>""</f>
        <v/>
      </c>
      <c r="AV618" s="5" t="str">
        <f t="shared" ref="AV618:BF623" si="832">"х"</f>
        <v>х</v>
      </c>
      <c r="AW618" s="5" t="str">
        <f t="shared" si="832"/>
        <v>х</v>
      </c>
      <c r="AX618" s="5" t="str">
        <f t="shared" si="832"/>
        <v>х</v>
      </c>
      <c r="AY618" s="5" t="str">
        <f t="shared" si="832"/>
        <v>х</v>
      </c>
      <c r="AZ618" s="5" t="str">
        <f t="shared" si="832"/>
        <v>х</v>
      </c>
      <c r="BA618" s="5" t="str">
        <f t="shared" si="832"/>
        <v>х</v>
      </c>
      <c r="BB618" s="5" t="str">
        <f t="shared" si="832"/>
        <v>х</v>
      </c>
      <c r="BC618" s="5" t="str">
        <f t="shared" si="832"/>
        <v>х</v>
      </c>
      <c r="BD618" s="5" t="str">
        <f t="shared" si="832"/>
        <v>х</v>
      </c>
      <c r="BE618" s="5" t="str">
        <f t="shared" si="832"/>
        <v>х</v>
      </c>
      <c r="BF618" s="5" t="str">
        <f t="shared" si="832"/>
        <v>х</v>
      </c>
      <c r="BG618" s="5" t="str">
        <f>""</f>
        <v/>
      </c>
      <c r="BH618" s="5" t="str">
        <f>""</f>
        <v/>
      </c>
      <c r="BI618" s="5" t="str">
        <f>""</f>
        <v/>
      </c>
      <c r="BJ618" s="5" t="str">
        <f>""</f>
        <v/>
      </c>
      <c r="BK618" s="5" t="str">
        <f>""</f>
        <v/>
      </c>
      <c r="BL618" s="5" t="str">
        <f>""</f>
        <v/>
      </c>
      <c r="BM618" s="5" t="str">
        <f>""</f>
        <v/>
      </c>
      <c r="BN618" s="5" t="str">
        <f>""</f>
        <v/>
      </c>
      <c r="BO618" s="5" t="str">
        <f>""</f>
        <v/>
      </c>
      <c r="BP618" s="5" t="str">
        <f>""</f>
        <v/>
      </c>
      <c r="BQ618" s="5" t="str">
        <f>""</f>
        <v/>
      </c>
      <c r="BR618" s="5" t="str">
        <f>""</f>
        <v/>
      </c>
      <c r="BS618" s="5" t="str">
        <f>"20,00"</f>
        <v>20,00</v>
      </c>
      <c r="BT618" s="5" t="str">
        <f>"2029"</f>
        <v>2029</v>
      </c>
      <c r="BU618" s="5" t="str">
        <f t="shared" si="796"/>
        <v>нет</v>
      </c>
      <c r="BV618" s="5" t="str">
        <f t="shared" si="822"/>
        <v>x</v>
      </c>
      <c r="BW618" s="5" t="str">
        <f t="shared" si="822"/>
        <v>x</v>
      </c>
      <c r="BX618" s="5" t="str">
        <f t="shared" si="822"/>
        <v>x</v>
      </c>
      <c r="BY618" s="5" t="str">
        <f t="shared" si="823"/>
        <v>нет</v>
      </c>
      <c r="BZ618" s="5" t="str">
        <f t="shared" ref="BZ618:CB623" si="833">"x"</f>
        <v>x</v>
      </c>
      <c r="CA618" s="5" t="str">
        <f t="shared" si="833"/>
        <v>x</v>
      </c>
      <c r="CB618" s="5" t="str">
        <f t="shared" si="833"/>
        <v>x</v>
      </c>
      <c r="CC618" s="5" t="str">
        <f>""</f>
        <v/>
      </c>
      <c r="CD618" s="5" t="str">
        <f>"58,00"</f>
        <v>58,00</v>
      </c>
      <c r="CE618" s="5" t="str">
        <f>"2023"</f>
        <v>2023</v>
      </c>
      <c r="CF618" s="5" t="str">
        <f>""</f>
        <v/>
      </c>
      <c r="CG618" s="5" t="str">
        <f>"50,00"</f>
        <v>50,00</v>
      </c>
      <c r="CH618" s="5" t="str">
        <f>"2023"</f>
        <v>2023</v>
      </c>
      <c r="CI618" s="5" t="str">
        <f>"62,00"</f>
        <v>62,00</v>
      </c>
      <c r="CJ618" s="5" t="str">
        <f>"2023"</f>
        <v>2023</v>
      </c>
    </row>
    <row r="619" spans="1:88" ht="11.25" customHeight="1">
      <c r="A619" s="3" t="str">
        <f>"1.606"</f>
        <v>1.606</v>
      </c>
      <c r="B619" s="4" t="str">
        <f>"пгт. Вохтога, ул. Школьная, д.4"</f>
        <v>пгт. Вохтога, ул. Школьная, д.4</v>
      </c>
      <c r="C619" s="7" t="str">
        <f>"1967"</f>
        <v>1967</v>
      </c>
      <c r="D619" s="5" t="str">
        <f>""</f>
        <v/>
      </c>
      <c r="E619" s="5" t="str">
        <f>"35,00"</f>
        <v>35,00</v>
      </c>
      <c r="F619" s="5" t="str">
        <f t="shared" si="825"/>
        <v>2022</v>
      </c>
      <c r="G619" s="5" t="str">
        <f t="shared" si="826"/>
        <v>да</v>
      </c>
      <c r="H619" s="5" t="str">
        <f t="shared" si="827"/>
        <v>2012</v>
      </c>
      <c r="I619" s="5" t="str">
        <f t="shared" si="828"/>
        <v>5,00</v>
      </c>
      <c r="J619" s="5" t="str">
        <f t="shared" si="829"/>
        <v>2022</v>
      </c>
      <c r="K619" s="5" t="str">
        <f t="shared" si="830"/>
        <v>да</v>
      </c>
      <c r="L619" s="5" t="str">
        <f>""</f>
        <v/>
      </c>
      <c r="M619" s="5" t="str">
        <f>"35,00"</f>
        <v>35,00</v>
      </c>
      <c r="N619" s="5" t="str">
        <f t="shared" si="831"/>
        <v>2022</v>
      </c>
      <c r="O619" s="8" t="str">
        <f>""</f>
        <v/>
      </c>
      <c r="P619" s="5" t="str">
        <f>"60,00"</f>
        <v>60,00</v>
      </c>
      <c r="Q619" s="5" t="str">
        <f>"2020"</f>
        <v>2020</v>
      </c>
      <c r="R619" s="5" t="str">
        <f t="shared" si="812"/>
        <v>нет</v>
      </c>
      <c r="S619" s="5" t="str">
        <f>""</f>
        <v/>
      </c>
      <c r="T619" s="5" t="str">
        <f>""</f>
        <v/>
      </c>
      <c r="U619" s="5" t="str">
        <f>""</f>
        <v/>
      </c>
      <c r="V619" s="5" t="str">
        <f t="shared" si="813"/>
        <v>нет</v>
      </c>
      <c r="W619" s="5" t="str">
        <f>""</f>
        <v/>
      </c>
      <c r="X619" s="5" t="str">
        <f>""</f>
        <v/>
      </c>
      <c r="Y619" s="9" t="str">
        <f>""</f>
        <v/>
      </c>
      <c r="Z619" s="5" t="str">
        <f>""</f>
        <v/>
      </c>
      <c r="AA619" s="5" t="str">
        <f>""</f>
        <v/>
      </c>
      <c r="AB619" s="5" t="str">
        <f>""</f>
        <v/>
      </c>
      <c r="AC619" s="5" t="str">
        <f>""</f>
        <v/>
      </c>
      <c r="AD619" s="5" t="str">
        <f>""</f>
        <v/>
      </c>
      <c r="AE619" s="5" t="str">
        <f>""</f>
        <v/>
      </c>
      <c r="AF619" s="5" t="str">
        <f>""</f>
        <v/>
      </c>
      <c r="AG619" s="5" t="str">
        <f>""</f>
        <v/>
      </c>
      <c r="AH619" s="5" t="str">
        <f>""</f>
        <v/>
      </c>
      <c r="AI619" s="5" t="str">
        <f>""</f>
        <v/>
      </c>
      <c r="AJ619" s="5" t="str">
        <f>""</f>
        <v/>
      </c>
      <c r="AK619" s="8" t="str">
        <f>""</f>
        <v/>
      </c>
      <c r="AL619" s="5" t="str">
        <f>"51,00"</f>
        <v>51,00</v>
      </c>
      <c r="AM619" s="5" t="str">
        <f>"2020"</f>
        <v>2020</v>
      </c>
      <c r="AN619" s="5" t="str">
        <f t="shared" si="821"/>
        <v>нет</v>
      </c>
      <c r="AO619" s="5" t="str">
        <f>""</f>
        <v/>
      </c>
      <c r="AP619" s="5" t="str">
        <f>""</f>
        <v/>
      </c>
      <c r="AQ619" s="5" t="str">
        <f>""</f>
        <v/>
      </c>
      <c r="AR619" s="5" t="str">
        <f t="shared" si="817"/>
        <v>нет</v>
      </c>
      <c r="AS619" s="5" t="str">
        <f>""</f>
        <v/>
      </c>
      <c r="AT619" s="5" t="str">
        <f>""</f>
        <v/>
      </c>
      <c r="AU619" s="5" t="str">
        <f>""</f>
        <v/>
      </c>
      <c r="AV619" s="5" t="str">
        <f t="shared" si="832"/>
        <v>х</v>
      </c>
      <c r="AW619" s="5" t="str">
        <f t="shared" si="832"/>
        <v>х</v>
      </c>
      <c r="AX619" s="5" t="str">
        <f t="shared" si="832"/>
        <v>х</v>
      </c>
      <c r="AY619" s="5" t="str">
        <f t="shared" si="832"/>
        <v>х</v>
      </c>
      <c r="AZ619" s="5" t="str">
        <f t="shared" si="832"/>
        <v>х</v>
      </c>
      <c r="BA619" s="5" t="str">
        <f t="shared" si="832"/>
        <v>х</v>
      </c>
      <c r="BB619" s="5" t="str">
        <f t="shared" si="832"/>
        <v>х</v>
      </c>
      <c r="BC619" s="5" t="str">
        <f t="shared" si="832"/>
        <v>х</v>
      </c>
      <c r="BD619" s="5" t="str">
        <f t="shared" si="832"/>
        <v>х</v>
      </c>
      <c r="BE619" s="5" t="str">
        <f t="shared" si="832"/>
        <v>х</v>
      </c>
      <c r="BF619" s="5" t="str">
        <f t="shared" si="832"/>
        <v>х</v>
      </c>
      <c r="BG619" s="5" t="str">
        <f>""</f>
        <v/>
      </c>
      <c r="BH619" s="5" t="str">
        <f>""</f>
        <v/>
      </c>
      <c r="BI619" s="5" t="str">
        <f>""</f>
        <v/>
      </c>
      <c r="BJ619" s="5" t="str">
        <f>""</f>
        <v/>
      </c>
      <c r="BK619" s="5" t="str">
        <f>""</f>
        <v/>
      </c>
      <c r="BL619" s="5" t="str">
        <f>""</f>
        <v/>
      </c>
      <c r="BM619" s="5" t="str">
        <f>""</f>
        <v/>
      </c>
      <c r="BN619" s="5" t="str">
        <f>""</f>
        <v/>
      </c>
      <c r="BO619" s="5" t="str">
        <f>""</f>
        <v/>
      </c>
      <c r="BP619" s="5" t="str">
        <f>""</f>
        <v/>
      </c>
      <c r="BQ619" s="5" t="str">
        <f>""</f>
        <v/>
      </c>
      <c r="BR619" s="5" t="str">
        <f>"2007"</f>
        <v>2007</v>
      </c>
      <c r="BS619" s="5" t="str">
        <f>"7,00"</f>
        <v>7,00</v>
      </c>
      <c r="BT619" s="5" t="str">
        <f>"2038"</f>
        <v>2038</v>
      </c>
      <c r="BU619" s="5" t="str">
        <f t="shared" si="796"/>
        <v>нет</v>
      </c>
      <c r="BV619" s="5" t="str">
        <f t="shared" si="822"/>
        <v>x</v>
      </c>
      <c r="BW619" s="5" t="str">
        <f t="shared" si="822"/>
        <v>x</v>
      </c>
      <c r="BX619" s="5" t="str">
        <f t="shared" si="822"/>
        <v>x</v>
      </c>
      <c r="BY619" s="5" t="str">
        <f t="shared" si="823"/>
        <v>нет</v>
      </c>
      <c r="BZ619" s="5" t="str">
        <f t="shared" si="833"/>
        <v>x</v>
      </c>
      <c r="CA619" s="5" t="str">
        <f t="shared" si="833"/>
        <v>x</v>
      </c>
      <c r="CB619" s="5" t="str">
        <f t="shared" si="833"/>
        <v>x</v>
      </c>
      <c r="CC619" s="5" t="str">
        <f>""</f>
        <v/>
      </c>
      <c r="CD619" s="5" t="str">
        <f>"63,00"</f>
        <v>63,00</v>
      </c>
      <c r="CE619" s="5" t="str">
        <f>"2022"</f>
        <v>2022</v>
      </c>
      <c r="CF619" s="5" t="str">
        <f>""</f>
        <v/>
      </c>
      <c r="CG619" s="5" t="str">
        <f>"50,00"</f>
        <v>50,00</v>
      </c>
      <c r="CH619" s="5" t="str">
        <f>"2022"</f>
        <v>2022</v>
      </c>
      <c r="CI619" s="5" t="str">
        <f>"63,00"</f>
        <v>63,00</v>
      </c>
      <c r="CJ619" s="5" t="str">
        <f>"2022"</f>
        <v>2022</v>
      </c>
    </row>
    <row r="620" spans="1:88" ht="11.25" customHeight="1">
      <c r="A620" s="3" t="str">
        <f>"1.607"</f>
        <v>1.607</v>
      </c>
      <c r="B620" s="4" t="str">
        <f>"пгт. Вохтога, ул. Школьная, д.5"</f>
        <v>пгт. Вохтога, ул. Школьная, д.5</v>
      </c>
      <c r="C620" s="7" t="str">
        <f>"1962"</f>
        <v>1962</v>
      </c>
      <c r="D620" s="5" t="str">
        <f>""</f>
        <v/>
      </c>
      <c r="E620" s="5" t="str">
        <f>"45,00"</f>
        <v>45,00</v>
      </c>
      <c r="F620" s="5" t="str">
        <f t="shared" si="825"/>
        <v>2022</v>
      </c>
      <c r="G620" s="5" t="str">
        <f t="shared" si="826"/>
        <v>да</v>
      </c>
      <c r="H620" s="5" t="str">
        <f t="shared" si="827"/>
        <v>2012</v>
      </c>
      <c r="I620" s="5" t="str">
        <f t="shared" si="828"/>
        <v>5,00</v>
      </c>
      <c r="J620" s="5" t="str">
        <f t="shared" si="829"/>
        <v>2022</v>
      </c>
      <c r="K620" s="5" t="str">
        <f t="shared" si="830"/>
        <v>да</v>
      </c>
      <c r="L620" s="5" t="str">
        <f>""</f>
        <v/>
      </c>
      <c r="M620" s="5" t="str">
        <f>"45,00"</f>
        <v>45,00</v>
      </c>
      <c r="N620" s="5" t="str">
        <f t="shared" si="831"/>
        <v>2022</v>
      </c>
      <c r="O620" s="8" t="str">
        <f>""</f>
        <v/>
      </c>
      <c r="P620" s="5" t="str">
        <f>"52,00"</f>
        <v>52,00</v>
      </c>
      <c r="Q620" s="5" t="str">
        <f>"2020"</f>
        <v>2020</v>
      </c>
      <c r="R620" s="5" t="str">
        <f t="shared" si="812"/>
        <v>нет</v>
      </c>
      <c r="S620" s="5" t="str">
        <f>""</f>
        <v/>
      </c>
      <c r="T620" s="5" t="str">
        <f>""</f>
        <v/>
      </c>
      <c r="U620" s="5" t="str">
        <f>""</f>
        <v/>
      </c>
      <c r="V620" s="5" t="str">
        <f t="shared" si="813"/>
        <v>нет</v>
      </c>
      <c r="W620" s="5" t="str">
        <f>""</f>
        <v/>
      </c>
      <c r="X620" s="5" t="str">
        <f>""</f>
        <v/>
      </c>
      <c r="Y620" s="9" t="str">
        <f>""</f>
        <v/>
      </c>
      <c r="Z620" s="5" t="str">
        <f>""</f>
        <v/>
      </c>
      <c r="AA620" s="5" t="str">
        <f>""</f>
        <v/>
      </c>
      <c r="AB620" s="5" t="str">
        <f>""</f>
        <v/>
      </c>
      <c r="AC620" s="5" t="str">
        <f>""</f>
        <v/>
      </c>
      <c r="AD620" s="5" t="str">
        <f>""</f>
        <v/>
      </c>
      <c r="AE620" s="5" t="str">
        <f>""</f>
        <v/>
      </c>
      <c r="AF620" s="5" t="str">
        <f>""</f>
        <v/>
      </c>
      <c r="AG620" s="5" t="str">
        <f>""</f>
        <v/>
      </c>
      <c r="AH620" s="5" t="str">
        <f>""</f>
        <v/>
      </c>
      <c r="AI620" s="5" t="str">
        <f>""</f>
        <v/>
      </c>
      <c r="AJ620" s="5" t="str">
        <f>""</f>
        <v/>
      </c>
      <c r="AK620" s="8" t="str">
        <f>""</f>
        <v/>
      </c>
      <c r="AL620" s="5" t="str">
        <f>"49,00"</f>
        <v>49,00</v>
      </c>
      <c r="AM620" s="5" t="str">
        <f>"2020"</f>
        <v>2020</v>
      </c>
      <c r="AN620" s="5" t="str">
        <f t="shared" si="821"/>
        <v>нет</v>
      </c>
      <c r="AO620" s="5" t="str">
        <f>""</f>
        <v/>
      </c>
      <c r="AP620" s="5" t="str">
        <f>""</f>
        <v/>
      </c>
      <c r="AQ620" s="5" t="str">
        <f>""</f>
        <v/>
      </c>
      <c r="AR620" s="5" t="str">
        <f t="shared" si="817"/>
        <v>нет</v>
      </c>
      <c r="AS620" s="5" t="str">
        <f>""</f>
        <v/>
      </c>
      <c r="AT620" s="5" t="str">
        <f>""</f>
        <v/>
      </c>
      <c r="AU620" s="5" t="str">
        <f>""</f>
        <v/>
      </c>
      <c r="AV620" s="5" t="str">
        <f t="shared" si="832"/>
        <v>х</v>
      </c>
      <c r="AW620" s="5" t="str">
        <f t="shared" si="832"/>
        <v>х</v>
      </c>
      <c r="AX620" s="5" t="str">
        <f t="shared" si="832"/>
        <v>х</v>
      </c>
      <c r="AY620" s="5" t="str">
        <f t="shared" si="832"/>
        <v>х</v>
      </c>
      <c r="AZ620" s="5" t="str">
        <f t="shared" si="832"/>
        <v>х</v>
      </c>
      <c r="BA620" s="5" t="str">
        <f t="shared" si="832"/>
        <v>х</v>
      </c>
      <c r="BB620" s="5" t="str">
        <f t="shared" si="832"/>
        <v>х</v>
      </c>
      <c r="BC620" s="5" t="str">
        <f t="shared" si="832"/>
        <v>х</v>
      </c>
      <c r="BD620" s="5" t="str">
        <f t="shared" si="832"/>
        <v>х</v>
      </c>
      <c r="BE620" s="5" t="str">
        <f t="shared" si="832"/>
        <v>х</v>
      </c>
      <c r="BF620" s="5" t="str">
        <f t="shared" si="832"/>
        <v>х</v>
      </c>
      <c r="BG620" s="5" t="str">
        <f>""</f>
        <v/>
      </c>
      <c r="BH620" s="5" t="str">
        <f>""</f>
        <v/>
      </c>
      <c r="BI620" s="5" t="str">
        <f>""</f>
        <v/>
      </c>
      <c r="BJ620" s="5" t="str">
        <f>""</f>
        <v/>
      </c>
      <c r="BK620" s="5" t="str">
        <f>""</f>
        <v/>
      </c>
      <c r="BL620" s="5" t="str">
        <f>""</f>
        <v/>
      </c>
      <c r="BM620" s="5" t="str">
        <f>""</f>
        <v/>
      </c>
      <c r="BN620" s="5" t="str">
        <f>""</f>
        <v/>
      </c>
      <c r="BO620" s="5" t="str">
        <f>""</f>
        <v/>
      </c>
      <c r="BP620" s="5" t="str">
        <f>""</f>
        <v/>
      </c>
      <c r="BQ620" s="5" t="str">
        <f>""</f>
        <v/>
      </c>
      <c r="BR620" s="5" t="str">
        <f>""</f>
        <v/>
      </c>
      <c r="BS620" s="5" t="str">
        <f>"66,00"</f>
        <v>66,00</v>
      </c>
      <c r="BT620" s="5" t="str">
        <f>"2016"</f>
        <v>2016</v>
      </c>
      <c r="BU620" s="5" t="str">
        <f t="shared" ref="BU620:BU660" si="834">"нет"</f>
        <v>нет</v>
      </c>
      <c r="BV620" s="5" t="str">
        <f t="shared" ref="BV620:BX639" si="835">"x"</f>
        <v>x</v>
      </c>
      <c r="BW620" s="5" t="str">
        <f t="shared" si="835"/>
        <v>x</v>
      </c>
      <c r="BX620" s="5" t="str">
        <f t="shared" si="835"/>
        <v>x</v>
      </c>
      <c r="BY620" s="5" t="str">
        <f t="shared" si="823"/>
        <v>нет</v>
      </c>
      <c r="BZ620" s="5" t="str">
        <f t="shared" si="833"/>
        <v>x</v>
      </c>
      <c r="CA620" s="5" t="str">
        <f t="shared" si="833"/>
        <v>x</v>
      </c>
      <c r="CB620" s="5" t="str">
        <f t="shared" si="833"/>
        <v>x</v>
      </c>
      <c r="CC620" s="5" t="str">
        <f>""</f>
        <v/>
      </c>
      <c r="CD620" s="5" t="str">
        <f>"68,00"</f>
        <v>68,00</v>
      </c>
      <c r="CE620" s="5" t="str">
        <f>"2020"</f>
        <v>2020</v>
      </c>
      <c r="CF620" s="5" t="str">
        <f>""</f>
        <v/>
      </c>
      <c r="CG620" s="5" t="str">
        <f>"59,00"</f>
        <v>59,00</v>
      </c>
      <c r="CH620" s="5" t="str">
        <f>"2020"</f>
        <v>2020</v>
      </c>
      <c r="CI620" s="5" t="str">
        <f>"63,00"</f>
        <v>63,00</v>
      </c>
      <c r="CJ620" s="5" t="str">
        <f>"2020"</f>
        <v>2020</v>
      </c>
    </row>
    <row r="621" spans="1:88" ht="11.25" customHeight="1">
      <c r="A621" s="3" t="str">
        <f>"1.608"</f>
        <v>1.608</v>
      </c>
      <c r="B621" s="4" t="str">
        <f>"пгт. Вохтога, ул. Школьная, д.6"</f>
        <v>пгт. Вохтога, ул. Школьная, д.6</v>
      </c>
      <c r="C621" s="7" t="str">
        <f>"1966"</f>
        <v>1966</v>
      </c>
      <c r="D621" s="5" t="str">
        <f>""</f>
        <v/>
      </c>
      <c r="E621" s="5" t="str">
        <f>"49,00"</f>
        <v>49,00</v>
      </c>
      <c r="F621" s="5" t="str">
        <f t="shared" si="825"/>
        <v>2022</v>
      </c>
      <c r="G621" s="5" t="str">
        <f t="shared" si="826"/>
        <v>да</v>
      </c>
      <c r="H621" s="5" t="str">
        <f t="shared" si="827"/>
        <v>2012</v>
      </c>
      <c r="I621" s="5" t="str">
        <f t="shared" si="828"/>
        <v>5,00</v>
      </c>
      <c r="J621" s="5" t="str">
        <f t="shared" si="829"/>
        <v>2022</v>
      </c>
      <c r="K621" s="5" t="str">
        <f t="shared" si="830"/>
        <v>да</v>
      </c>
      <c r="L621" s="5" t="str">
        <f>""</f>
        <v/>
      </c>
      <c r="M621" s="5" t="str">
        <f>"49,00"</f>
        <v>49,00</v>
      </c>
      <c r="N621" s="5" t="str">
        <f t="shared" si="831"/>
        <v>2022</v>
      </c>
      <c r="O621" s="8" t="str">
        <f>""</f>
        <v/>
      </c>
      <c r="P621" s="5" t="str">
        <f>"52,00"</f>
        <v>52,00</v>
      </c>
      <c r="Q621" s="5" t="str">
        <f>"2020"</f>
        <v>2020</v>
      </c>
      <c r="R621" s="5" t="str">
        <f t="shared" si="812"/>
        <v>нет</v>
      </c>
      <c r="S621" s="5" t="str">
        <f>""</f>
        <v/>
      </c>
      <c r="T621" s="5" t="str">
        <f>""</f>
        <v/>
      </c>
      <c r="U621" s="5" t="str">
        <f>""</f>
        <v/>
      </c>
      <c r="V621" s="5" t="str">
        <f t="shared" si="813"/>
        <v>нет</v>
      </c>
      <c r="W621" s="5" t="str">
        <f>""</f>
        <v/>
      </c>
      <c r="X621" s="5" t="str">
        <f>""</f>
        <v/>
      </c>
      <c r="Y621" s="9" t="str">
        <f>""</f>
        <v/>
      </c>
      <c r="Z621" s="5" t="str">
        <f>""</f>
        <v/>
      </c>
      <c r="AA621" s="5" t="str">
        <f>""</f>
        <v/>
      </c>
      <c r="AB621" s="5" t="str">
        <f>""</f>
        <v/>
      </c>
      <c r="AC621" s="5" t="str">
        <f>""</f>
        <v/>
      </c>
      <c r="AD621" s="5" t="str">
        <f>""</f>
        <v/>
      </c>
      <c r="AE621" s="5" t="str">
        <f>""</f>
        <v/>
      </c>
      <c r="AF621" s="5" t="str">
        <f>""</f>
        <v/>
      </c>
      <c r="AG621" s="5" t="str">
        <f>""</f>
        <v/>
      </c>
      <c r="AH621" s="5" t="str">
        <f>""</f>
        <v/>
      </c>
      <c r="AI621" s="5" t="str">
        <f>""</f>
        <v/>
      </c>
      <c r="AJ621" s="5" t="str">
        <f>""</f>
        <v/>
      </c>
      <c r="AK621" s="8" t="str">
        <f>""</f>
        <v/>
      </c>
      <c r="AL621" s="5" t="str">
        <f>"53,00"</f>
        <v>53,00</v>
      </c>
      <c r="AM621" s="5" t="str">
        <f>"2020"</f>
        <v>2020</v>
      </c>
      <c r="AN621" s="5" t="str">
        <f t="shared" si="821"/>
        <v>нет</v>
      </c>
      <c r="AO621" s="5" t="str">
        <f>""</f>
        <v/>
      </c>
      <c r="AP621" s="5" t="str">
        <f>""</f>
        <v/>
      </c>
      <c r="AQ621" s="5" t="str">
        <f>""</f>
        <v/>
      </c>
      <c r="AR621" s="5" t="str">
        <f t="shared" si="817"/>
        <v>нет</v>
      </c>
      <c r="AS621" s="5" t="str">
        <f>""</f>
        <v/>
      </c>
      <c r="AT621" s="5" t="str">
        <f>""</f>
        <v/>
      </c>
      <c r="AU621" s="5" t="str">
        <f>""</f>
        <v/>
      </c>
      <c r="AV621" s="5" t="str">
        <f t="shared" si="832"/>
        <v>х</v>
      </c>
      <c r="AW621" s="5" t="str">
        <f t="shared" si="832"/>
        <v>х</v>
      </c>
      <c r="AX621" s="5" t="str">
        <f t="shared" si="832"/>
        <v>х</v>
      </c>
      <c r="AY621" s="5" t="str">
        <f t="shared" si="832"/>
        <v>х</v>
      </c>
      <c r="AZ621" s="5" t="str">
        <f t="shared" si="832"/>
        <v>х</v>
      </c>
      <c r="BA621" s="5" t="str">
        <f t="shared" si="832"/>
        <v>х</v>
      </c>
      <c r="BB621" s="5" t="str">
        <f t="shared" si="832"/>
        <v>х</v>
      </c>
      <c r="BC621" s="5" t="str">
        <f t="shared" si="832"/>
        <v>х</v>
      </c>
      <c r="BD621" s="5" t="str">
        <f t="shared" si="832"/>
        <v>х</v>
      </c>
      <c r="BE621" s="5" t="str">
        <f t="shared" si="832"/>
        <v>х</v>
      </c>
      <c r="BF621" s="5" t="str">
        <f t="shared" si="832"/>
        <v>х</v>
      </c>
      <c r="BG621" s="5" t="str">
        <f>""</f>
        <v/>
      </c>
      <c r="BH621" s="5" t="str">
        <f>""</f>
        <v/>
      </c>
      <c r="BI621" s="5" t="str">
        <f>""</f>
        <v/>
      </c>
      <c r="BJ621" s="5" t="str">
        <f>""</f>
        <v/>
      </c>
      <c r="BK621" s="5" t="str">
        <f>""</f>
        <v/>
      </c>
      <c r="BL621" s="5" t="str">
        <f>""</f>
        <v/>
      </c>
      <c r="BM621" s="5" t="str">
        <f>""</f>
        <v/>
      </c>
      <c r="BN621" s="5" t="str">
        <f>""</f>
        <v/>
      </c>
      <c r="BO621" s="5" t="str">
        <f>""</f>
        <v/>
      </c>
      <c r="BP621" s="5" t="str">
        <f>""</f>
        <v/>
      </c>
      <c r="BQ621" s="5" t="str">
        <f>""</f>
        <v/>
      </c>
      <c r="BR621" s="5" t="str">
        <f>""</f>
        <v/>
      </c>
      <c r="BS621" s="5" t="str">
        <f>"43,00"</f>
        <v>43,00</v>
      </c>
      <c r="BT621" s="5" t="str">
        <f>"2018"</f>
        <v>2018</v>
      </c>
      <c r="BU621" s="5" t="str">
        <f t="shared" si="834"/>
        <v>нет</v>
      </c>
      <c r="BV621" s="5" t="str">
        <f t="shared" si="835"/>
        <v>x</v>
      </c>
      <c r="BW621" s="5" t="str">
        <f t="shared" si="835"/>
        <v>x</v>
      </c>
      <c r="BX621" s="5" t="str">
        <f t="shared" si="835"/>
        <v>x</v>
      </c>
      <c r="BY621" s="5" t="str">
        <f t="shared" si="823"/>
        <v>нет</v>
      </c>
      <c r="BZ621" s="5" t="str">
        <f t="shared" si="833"/>
        <v>x</v>
      </c>
      <c r="CA621" s="5" t="str">
        <f t="shared" si="833"/>
        <v>x</v>
      </c>
      <c r="CB621" s="5" t="str">
        <f t="shared" si="833"/>
        <v>x</v>
      </c>
      <c r="CC621" s="5" t="str">
        <f>""</f>
        <v/>
      </c>
      <c r="CD621" s="5" t="str">
        <f>"63,00"</f>
        <v>63,00</v>
      </c>
      <c r="CE621" s="5" t="str">
        <f>"2021"</f>
        <v>2021</v>
      </c>
      <c r="CF621" s="5" t="str">
        <f>""</f>
        <v/>
      </c>
      <c r="CG621" s="5" t="str">
        <f>"54,00"</f>
        <v>54,00</v>
      </c>
      <c r="CH621" s="5" t="str">
        <f>"2021"</f>
        <v>2021</v>
      </c>
      <c r="CI621" s="5" t="str">
        <f>"59,00"</f>
        <v>59,00</v>
      </c>
      <c r="CJ621" s="5" t="str">
        <f>"2021"</f>
        <v>2021</v>
      </c>
    </row>
    <row r="622" spans="1:88" ht="11.25" customHeight="1">
      <c r="A622" s="3" t="str">
        <f>"1.609"</f>
        <v>1.609</v>
      </c>
      <c r="B622" s="4" t="str">
        <f>"пгт. Вохтога, ул. Школьная, д.7"</f>
        <v>пгт. Вохтога, ул. Школьная, д.7</v>
      </c>
      <c r="C622" s="7" t="str">
        <f>"1962"</f>
        <v>1962</v>
      </c>
      <c r="D622" s="5" t="str">
        <f>""</f>
        <v/>
      </c>
      <c r="E622" s="5" t="str">
        <f>"49,00"</f>
        <v>49,00</v>
      </c>
      <c r="F622" s="5" t="str">
        <f t="shared" si="825"/>
        <v>2022</v>
      </c>
      <c r="G622" s="5" t="str">
        <f t="shared" si="826"/>
        <v>да</v>
      </c>
      <c r="H622" s="5" t="str">
        <f t="shared" si="827"/>
        <v>2012</v>
      </c>
      <c r="I622" s="5" t="str">
        <f t="shared" si="828"/>
        <v>5,00</v>
      </c>
      <c r="J622" s="5" t="str">
        <f t="shared" si="829"/>
        <v>2022</v>
      </c>
      <c r="K622" s="5" t="str">
        <f t="shared" si="830"/>
        <v>да</v>
      </c>
      <c r="L622" s="5" t="str">
        <f>""</f>
        <v/>
      </c>
      <c r="M622" s="5" t="str">
        <f>"49,00"</f>
        <v>49,00</v>
      </c>
      <c r="N622" s="5" t="str">
        <f t="shared" si="831"/>
        <v>2022</v>
      </c>
      <c r="O622" s="8" t="str">
        <f>""</f>
        <v/>
      </c>
      <c r="P622" s="5" t="str">
        <f>"50,00"</f>
        <v>50,00</v>
      </c>
      <c r="Q622" s="5" t="str">
        <f>"2022"</f>
        <v>2022</v>
      </c>
      <c r="R622" s="5" t="str">
        <f t="shared" si="812"/>
        <v>нет</v>
      </c>
      <c r="S622" s="5" t="str">
        <f>""</f>
        <v/>
      </c>
      <c r="T622" s="5" t="str">
        <f>""</f>
        <v/>
      </c>
      <c r="U622" s="5" t="str">
        <f>""</f>
        <v/>
      </c>
      <c r="V622" s="5" t="str">
        <f t="shared" si="813"/>
        <v>нет</v>
      </c>
      <c r="W622" s="5" t="str">
        <f>""</f>
        <v/>
      </c>
      <c r="X622" s="5" t="str">
        <f>""</f>
        <v/>
      </c>
      <c r="Y622" s="9" t="str">
        <f>""</f>
        <v/>
      </c>
      <c r="Z622" s="5" t="str">
        <f>""</f>
        <v/>
      </c>
      <c r="AA622" s="5" t="str">
        <f>""</f>
        <v/>
      </c>
      <c r="AB622" s="5" t="str">
        <f>""</f>
        <v/>
      </c>
      <c r="AC622" s="5" t="str">
        <f>""</f>
        <v/>
      </c>
      <c r="AD622" s="5" t="str">
        <f>""</f>
        <v/>
      </c>
      <c r="AE622" s="5" t="str">
        <f>""</f>
        <v/>
      </c>
      <c r="AF622" s="5" t="str">
        <f>""</f>
        <v/>
      </c>
      <c r="AG622" s="5" t="str">
        <f>""</f>
        <v/>
      </c>
      <c r="AH622" s="5" t="str">
        <f>""</f>
        <v/>
      </c>
      <c r="AI622" s="5" t="str">
        <f>""</f>
        <v/>
      </c>
      <c r="AJ622" s="5" t="str">
        <f>""</f>
        <v/>
      </c>
      <c r="AK622" s="8" t="str">
        <f>""</f>
        <v/>
      </c>
      <c r="AL622" s="5" t="str">
        <f>"55,00"</f>
        <v>55,00</v>
      </c>
      <c r="AM622" s="5" t="str">
        <f>"2022"</f>
        <v>2022</v>
      </c>
      <c r="AN622" s="5" t="str">
        <f t="shared" si="821"/>
        <v>нет</v>
      </c>
      <c r="AO622" s="5" t="str">
        <f>""</f>
        <v/>
      </c>
      <c r="AP622" s="5" t="str">
        <f>""</f>
        <v/>
      </c>
      <c r="AQ622" s="5" t="str">
        <f>""</f>
        <v/>
      </c>
      <c r="AR622" s="5" t="str">
        <f t="shared" si="817"/>
        <v>нет</v>
      </c>
      <c r="AS622" s="5" t="str">
        <f>""</f>
        <v/>
      </c>
      <c r="AT622" s="5" t="str">
        <f>""</f>
        <v/>
      </c>
      <c r="AU622" s="5" t="str">
        <f>""</f>
        <v/>
      </c>
      <c r="AV622" s="5" t="str">
        <f t="shared" si="832"/>
        <v>х</v>
      </c>
      <c r="AW622" s="5" t="str">
        <f t="shared" si="832"/>
        <v>х</v>
      </c>
      <c r="AX622" s="5" t="str">
        <f t="shared" si="832"/>
        <v>х</v>
      </c>
      <c r="AY622" s="5" t="str">
        <f t="shared" si="832"/>
        <v>х</v>
      </c>
      <c r="AZ622" s="5" t="str">
        <f t="shared" si="832"/>
        <v>х</v>
      </c>
      <c r="BA622" s="5" t="str">
        <f t="shared" si="832"/>
        <v>х</v>
      </c>
      <c r="BB622" s="5" t="str">
        <f t="shared" si="832"/>
        <v>х</v>
      </c>
      <c r="BC622" s="5" t="str">
        <f t="shared" si="832"/>
        <v>х</v>
      </c>
      <c r="BD622" s="5" t="str">
        <f t="shared" si="832"/>
        <v>х</v>
      </c>
      <c r="BE622" s="5" t="str">
        <f t="shared" si="832"/>
        <v>х</v>
      </c>
      <c r="BF622" s="5" t="str">
        <f t="shared" si="832"/>
        <v>х</v>
      </c>
      <c r="BG622" s="5" t="str">
        <f>""</f>
        <v/>
      </c>
      <c r="BH622" s="5" t="str">
        <f>""</f>
        <v/>
      </c>
      <c r="BI622" s="5" t="str">
        <f>""</f>
        <v/>
      </c>
      <c r="BJ622" s="5" t="str">
        <f>""</f>
        <v/>
      </c>
      <c r="BK622" s="5" t="str">
        <f>""</f>
        <v/>
      </c>
      <c r="BL622" s="5" t="str">
        <f>""</f>
        <v/>
      </c>
      <c r="BM622" s="5" t="str">
        <f>""</f>
        <v/>
      </c>
      <c r="BN622" s="5" t="str">
        <f>""</f>
        <v/>
      </c>
      <c r="BO622" s="5" t="str">
        <f>""</f>
        <v/>
      </c>
      <c r="BP622" s="5" t="str">
        <f>""</f>
        <v/>
      </c>
      <c r="BQ622" s="5" t="str">
        <f>""</f>
        <v/>
      </c>
      <c r="BR622" s="5" t="str">
        <f>""</f>
        <v/>
      </c>
      <c r="BS622" s="5" t="str">
        <f>"54,00"</f>
        <v>54,00</v>
      </c>
      <c r="BT622" s="5" t="str">
        <f>"2018"</f>
        <v>2018</v>
      </c>
      <c r="BU622" s="5" t="str">
        <f t="shared" si="834"/>
        <v>нет</v>
      </c>
      <c r="BV622" s="5" t="str">
        <f t="shared" si="835"/>
        <v>x</v>
      </c>
      <c r="BW622" s="5" t="str">
        <f t="shared" si="835"/>
        <v>x</v>
      </c>
      <c r="BX622" s="5" t="str">
        <f t="shared" si="835"/>
        <v>x</v>
      </c>
      <c r="BY622" s="5" t="str">
        <f t="shared" si="823"/>
        <v>нет</v>
      </c>
      <c r="BZ622" s="5" t="str">
        <f t="shared" si="833"/>
        <v>x</v>
      </c>
      <c r="CA622" s="5" t="str">
        <f t="shared" si="833"/>
        <v>x</v>
      </c>
      <c r="CB622" s="5" t="str">
        <f t="shared" si="833"/>
        <v>x</v>
      </c>
      <c r="CC622" s="5" t="str">
        <f>""</f>
        <v/>
      </c>
      <c r="CD622" s="5" t="str">
        <f>"62,00"</f>
        <v>62,00</v>
      </c>
      <c r="CE622" s="5" t="str">
        <f>"2019"</f>
        <v>2019</v>
      </c>
      <c r="CF622" s="5" t="str">
        <f>""</f>
        <v/>
      </c>
      <c r="CG622" s="5" t="str">
        <f>"40,00"</f>
        <v>40,00</v>
      </c>
      <c r="CH622" s="5" t="str">
        <f>"2019"</f>
        <v>2019</v>
      </c>
      <c r="CI622" s="5" t="str">
        <f>"54,00"</f>
        <v>54,00</v>
      </c>
      <c r="CJ622" s="5" t="str">
        <f>"2019"</f>
        <v>2019</v>
      </c>
    </row>
    <row r="623" spans="1:88" ht="11.25" customHeight="1">
      <c r="A623" s="3" t="str">
        <f>"1.610"</f>
        <v>1.610</v>
      </c>
      <c r="B623" s="4" t="str">
        <f>"пгт. Вохтога, ул. Школьная, д.9"</f>
        <v>пгт. Вохтога, ул. Школьная, д.9</v>
      </c>
      <c r="C623" s="7" t="str">
        <f>"1959"</f>
        <v>1959</v>
      </c>
      <c r="D623" s="5" t="str">
        <f>""</f>
        <v/>
      </c>
      <c r="E623" s="5" t="str">
        <f>"35,00"</f>
        <v>35,00</v>
      </c>
      <c r="F623" s="5" t="str">
        <f t="shared" si="825"/>
        <v>2022</v>
      </c>
      <c r="G623" s="5" t="str">
        <f t="shared" si="826"/>
        <v>да</v>
      </c>
      <c r="H623" s="5" t="str">
        <f t="shared" si="827"/>
        <v>2012</v>
      </c>
      <c r="I623" s="5" t="str">
        <f t="shared" si="828"/>
        <v>5,00</v>
      </c>
      <c r="J623" s="5" t="str">
        <f t="shared" si="829"/>
        <v>2022</v>
      </c>
      <c r="K623" s="5" t="str">
        <f t="shared" si="830"/>
        <v>да</v>
      </c>
      <c r="L623" s="5" t="str">
        <f>""</f>
        <v/>
      </c>
      <c r="M623" s="5" t="str">
        <f>"35,00"</f>
        <v>35,00</v>
      </c>
      <c r="N623" s="5" t="str">
        <f t="shared" si="831"/>
        <v>2022</v>
      </c>
      <c r="O623" s="8" t="str">
        <f>""</f>
        <v/>
      </c>
      <c r="P623" s="5" t="str">
        <f>"40,00"</f>
        <v>40,00</v>
      </c>
      <c r="Q623" s="5" t="str">
        <f>"2022"</f>
        <v>2022</v>
      </c>
      <c r="R623" s="5" t="str">
        <f t="shared" si="812"/>
        <v>нет</v>
      </c>
      <c r="S623" s="5" t="str">
        <f>""</f>
        <v/>
      </c>
      <c r="T623" s="5" t="str">
        <f>""</f>
        <v/>
      </c>
      <c r="U623" s="5" t="str">
        <f>""</f>
        <v/>
      </c>
      <c r="V623" s="5" t="str">
        <f t="shared" si="813"/>
        <v>нет</v>
      </c>
      <c r="W623" s="5" t="str">
        <f>""</f>
        <v/>
      </c>
      <c r="X623" s="5" t="str">
        <f>""</f>
        <v/>
      </c>
      <c r="Y623" s="9" t="str">
        <f>""</f>
        <v/>
      </c>
      <c r="Z623" s="5" t="str">
        <f>""</f>
        <v/>
      </c>
      <c r="AA623" s="5" t="str">
        <f>""</f>
        <v/>
      </c>
      <c r="AB623" s="5" t="str">
        <f>""</f>
        <v/>
      </c>
      <c r="AC623" s="5" t="str">
        <f>""</f>
        <v/>
      </c>
      <c r="AD623" s="5" t="str">
        <f>""</f>
        <v/>
      </c>
      <c r="AE623" s="5" t="str">
        <f>""</f>
        <v/>
      </c>
      <c r="AF623" s="5" t="str">
        <f>""</f>
        <v/>
      </c>
      <c r="AG623" s="5" t="str">
        <f>""</f>
        <v/>
      </c>
      <c r="AH623" s="5" t="str">
        <f>""</f>
        <v/>
      </c>
      <c r="AI623" s="5" t="str">
        <f>""</f>
        <v/>
      </c>
      <c r="AJ623" s="5" t="str">
        <f>""</f>
        <v/>
      </c>
      <c r="AK623" s="8" t="str">
        <f>""</f>
        <v/>
      </c>
      <c r="AL623" s="5" t="str">
        <f>"35,00"</f>
        <v>35,00</v>
      </c>
      <c r="AM623" s="5" t="str">
        <f>"2022"</f>
        <v>2022</v>
      </c>
      <c r="AN623" s="5" t="str">
        <f t="shared" si="821"/>
        <v>нет</v>
      </c>
      <c r="AO623" s="5" t="str">
        <f>""</f>
        <v/>
      </c>
      <c r="AP623" s="5" t="str">
        <f>""</f>
        <v/>
      </c>
      <c r="AQ623" s="5" t="str">
        <f>""</f>
        <v/>
      </c>
      <c r="AR623" s="5" t="str">
        <f t="shared" si="817"/>
        <v>нет</v>
      </c>
      <c r="AS623" s="5" t="str">
        <f>""</f>
        <v/>
      </c>
      <c r="AT623" s="5" t="str">
        <f>""</f>
        <v/>
      </c>
      <c r="AU623" s="5" t="str">
        <f>""</f>
        <v/>
      </c>
      <c r="AV623" s="5" t="str">
        <f t="shared" si="832"/>
        <v>х</v>
      </c>
      <c r="AW623" s="5" t="str">
        <f t="shared" si="832"/>
        <v>х</v>
      </c>
      <c r="AX623" s="5" t="str">
        <f t="shared" si="832"/>
        <v>х</v>
      </c>
      <c r="AY623" s="5" t="str">
        <f t="shared" si="832"/>
        <v>х</v>
      </c>
      <c r="AZ623" s="5" t="str">
        <f t="shared" si="832"/>
        <v>х</v>
      </c>
      <c r="BA623" s="5" t="str">
        <f t="shared" si="832"/>
        <v>х</v>
      </c>
      <c r="BB623" s="5" t="str">
        <f t="shared" si="832"/>
        <v>х</v>
      </c>
      <c r="BC623" s="5" t="str">
        <f t="shared" si="832"/>
        <v>х</v>
      </c>
      <c r="BD623" s="5" t="str">
        <f t="shared" si="832"/>
        <v>х</v>
      </c>
      <c r="BE623" s="5" t="str">
        <f t="shared" si="832"/>
        <v>х</v>
      </c>
      <c r="BF623" s="5" t="str">
        <f t="shared" si="832"/>
        <v>х</v>
      </c>
      <c r="BG623" s="5" t="str">
        <f>""</f>
        <v/>
      </c>
      <c r="BH623" s="5" t="str">
        <f>""</f>
        <v/>
      </c>
      <c r="BI623" s="5" t="str">
        <f>""</f>
        <v/>
      </c>
      <c r="BJ623" s="5" t="str">
        <f>""</f>
        <v/>
      </c>
      <c r="BK623" s="5" t="str">
        <f>""</f>
        <v/>
      </c>
      <c r="BL623" s="5" t="str">
        <f>""</f>
        <v/>
      </c>
      <c r="BM623" s="5" t="str">
        <f>""</f>
        <v/>
      </c>
      <c r="BN623" s="5" t="str">
        <f>""</f>
        <v/>
      </c>
      <c r="BO623" s="5" t="str">
        <f>""</f>
        <v/>
      </c>
      <c r="BP623" s="5" t="str">
        <f>""</f>
        <v/>
      </c>
      <c r="BQ623" s="5" t="str">
        <f>""</f>
        <v/>
      </c>
      <c r="BR623" s="5" t="str">
        <f>""</f>
        <v/>
      </c>
      <c r="BS623" s="5" t="str">
        <f>"46,00"</f>
        <v>46,00</v>
      </c>
      <c r="BT623" s="5" t="str">
        <f>"2018"</f>
        <v>2018</v>
      </c>
      <c r="BU623" s="5" t="str">
        <f t="shared" si="834"/>
        <v>нет</v>
      </c>
      <c r="BV623" s="5" t="str">
        <f t="shared" si="835"/>
        <v>x</v>
      </c>
      <c r="BW623" s="5" t="str">
        <f t="shared" si="835"/>
        <v>x</v>
      </c>
      <c r="BX623" s="5" t="str">
        <f t="shared" si="835"/>
        <v>x</v>
      </c>
      <c r="BY623" s="5" t="str">
        <f t="shared" si="823"/>
        <v>нет</v>
      </c>
      <c r="BZ623" s="5" t="str">
        <f t="shared" si="833"/>
        <v>x</v>
      </c>
      <c r="CA623" s="5" t="str">
        <f t="shared" si="833"/>
        <v>x</v>
      </c>
      <c r="CB623" s="5" t="str">
        <f t="shared" si="833"/>
        <v>x</v>
      </c>
      <c r="CC623" s="5" t="str">
        <f>""</f>
        <v/>
      </c>
      <c r="CD623" s="5" t="str">
        <f>"62,00"</f>
        <v>62,00</v>
      </c>
      <c r="CE623" s="5" t="str">
        <f>"2022"</f>
        <v>2022</v>
      </c>
      <c r="CF623" s="5" t="str">
        <f>""</f>
        <v/>
      </c>
      <c r="CG623" s="5" t="str">
        <f>"62,00"</f>
        <v>62,00</v>
      </c>
      <c r="CH623" s="5" t="str">
        <f>"2022"</f>
        <v>2022</v>
      </c>
      <c r="CI623" s="5" t="str">
        <f>"66,00"</f>
        <v>66,00</v>
      </c>
      <c r="CJ623" s="5" t="str">
        <f>"2022"</f>
        <v>2022</v>
      </c>
    </row>
    <row r="624" spans="1:88" ht="11.25" customHeight="1">
      <c r="A624" s="3" t="str">
        <f>"1.611"</f>
        <v>1.611</v>
      </c>
      <c r="B624" s="4" t="str">
        <f>"пгт. Вохтога, ул. Юбилейная, д.10"</f>
        <v>пгт. Вохтога, ул. Юбилейная, д.10</v>
      </c>
      <c r="C624" s="7" t="str">
        <f>"1995"</f>
        <v>1995</v>
      </c>
      <c r="D624" s="5" t="str">
        <f>""</f>
        <v/>
      </c>
      <c r="E624" s="5" t="str">
        <f>"10,00"</f>
        <v>10,00</v>
      </c>
      <c r="F624" s="5" t="str">
        <f>"2025"</f>
        <v>2025</v>
      </c>
      <c r="G624" s="5" t="str">
        <f t="shared" si="826"/>
        <v>да</v>
      </c>
      <c r="H624" s="5" t="str">
        <f>""</f>
        <v/>
      </c>
      <c r="I624" s="5" t="str">
        <f>"10,00"</f>
        <v>10,00</v>
      </c>
      <c r="J624" s="5" t="str">
        <f>"2020"</f>
        <v>2020</v>
      </c>
      <c r="K624" s="5" t="str">
        <f t="shared" si="830"/>
        <v>да</v>
      </c>
      <c r="L624" s="5" t="str">
        <f>""</f>
        <v/>
      </c>
      <c r="M624" s="5" t="str">
        <f>"10,00"</f>
        <v>10,00</v>
      </c>
      <c r="N624" s="5" t="str">
        <f>"2025"</f>
        <v>2025</v>
      </c>
      <c r="O624" s="8" t="str">
        <f>""</f>
        <v/>
      </c>
      <c r="P624" s="5" t="str">
        <f>"10,00"</f>
        <v>10,00</v>
      </c>
      <c r="Q624" s="5" t="str">
        <f>"2025"</f>
        <v>2025</v>
      </c>
      <c r="R624" s="5" t="str">
        <f t="shared" si="812"/>
        <v>нет</v>
      </c>
      <c r="S624" s="5" t="str">
        <f>""</f>
        <v/>
      </c>
      <c r="T624" s="5" t="str">
        <f>""</f>
        <v/>
      </c>
      <c r="U624" s="5" t="str">
        <f>""</f>
        <v/>
      </c>
      <c r="V624" s="5" t="str">
        <f t="shared" si="813"/>
        <v>нет</v>
      </c>
      <c r="W624" s="5" t="str">
        <f>""</f>
        <v/>
      </c>
      <c r="X624" s="5" t="str">
        <f>""</f>
        <v/>
      </c>
      <c r="Y624" s="9" t="str">
        <f>""</f>
        <v/>
      </c>
      <c r="Z624" s="5" t="str">
        <f t="shared" ref="Z624:AJ624" si="836">"х"</f>
        <v>х</v>
      </c>
      <c r="AA624" s="5" t="str">
        <f t="shared" si="836"/>
        <v>х</v>
      </c>
      <c r="AB624" s="5" t="str">
        <f t="shared" si="836"/>
        <v>х</v>
      </c>
      <c r="AC624" s="5" t="str">
        <f t="shared" si="836"/>
        <v>х</v>
      </c>
      <c r="AD624" s="5" t="str">
        <f t="shared" si="836"/>
        <v>х</v>
      </c>
      <c r="AE624" s="5" t="str">
        <f t="shared" si="836"/>
        <v>х</v>
      </c>
      <c r="AF624" s="5" t="str">
        <f t="shared" si="836"/>
        <v>х</v>
      </c>
      <c r="AG624" s="5" t="str">
        <f t="shared" si="836"/>
        <v>х</v>
      </c>
      <c r="AH624" s="5" t="str">
        <f t="shared" si="836"/>
        <v>х</v>
      </c>
      <c r="AI624" s="5" t="str">
        <f t="shared" si="836"/>
        <v>х</v>
      </c>
      <c r="AJ624" s="5" t="str">
        <f t="shared" si="836"/>
        <v>х</v>
      </c>
      <c r="AK624" s="8" t="str">
        <f>""</f>
        <v/>
      </c>
      <c r="AL624" s="5" t="str">
        <f>"10,00"</f>
        <v>10,00</v>
      </c>
      <c r="AM624" s="5" t="str">
        <f>"2030"</f>
        <v>2030</v>
      </c>
      <c r="AN624" s="5" t="str">
        <f t="shared" si="821"/>
        <v>нет</v>
      </c>
      <c r="AO624" s="5" t="str">
        <f>""</f>
        <v/>
      </c>
      <c r="AP624" s="5" t="str">
        <f>""</f>
        <v/>
      </c>
      <c r="AQ624" s="5" t="str">
        <f>""</f>
        <v/>
      </c>
      <c r="AR624" s="5" t="str">
        <f t="shared" si="817"/>
        <v>нет</v>
      </c>
      <c r="AS624" s="5" t="str">
        <f>""</f>
        <v/>
      </c>
      <c r="AT624" s="5" t="str">
        <f>""</f>
        <v/>
      </c>
      <c r="AU624" s="5" t="str">
        <f>""</f>
        <v/>
      </c>
      <c r="AV624" s="5" t="str">
        <f>""</f>
        <v/>
      </c>
      <c r="AW624" s="5" t="str">
        <f>"10,00"</f>
        <v>10,00</v>
      </c>
      <c r="AX624" s="5" t="str">
        <f>"2030"</f>
        <v>2030</v>
      </c>
      <c r="AY624" s="5" t="str">
        <f t="shared" ref="AY624:AY629" si="837">"нет"</f>
        <v>нет</v>
      </c>
      <c r="AZ624" s="5" t="str">
        <f>""</f>
        <v/>
      </c>
      <c r="BA624" s="5" t="str">
        <f>""</f>
        <v/>
      </c>
      <c r="BB624" s="5" t="str">
        <f>""</f>
        <v/>
      </c>
      <c r="BC624" s="5" t="str">
        <f t="shared" ref="BC624:BC629" si="838">"да"</f>
        <v>да</v>
      </c>
      <c r="BD624" s="5" t="str">
        <f>""</f>
        <v/>
      </c>
      <c r="BE624" s="5" t="str">
        <f>"15,00"</f>
        <v>15,00</v>
      </c>
      <c r="BF624" s="5" t="str">
        <f>"2030"</f>
        <v>2030</v>
      </c>
      <c r="BG624" s="5" t="str">
        <f>""</f>
        <v/>
      </c>
      <c r="BH624" s="5" t="str">
        <f>"10,00"</f>
        <v>10,00</v>
      </c>
      <c r="BI624" s="5" t="str">
        <f>"2030"</f>
        <v>2030</v>
      </c>
      <c r="BJ624" s="5" t="str">
        <f t="shared" ref="BJ624:BJ636" si="839">"нет"</f>
        <v>нет</v>
      </c>
      <c r="BK624" s="5" t="str">
        <f>""</f>
        <v/>
      </c>
      <c r="BL624" s="5" t="str">
        <f>""</f>
        <v/>
      </c>
      <c r="BM624" s="5" t="str">
        <f>""</f>
        <v/>
      </c>
      <c r="BN624" s="5" t="str">
        <f t="shared" ref="BN624:BN636" si="840">"нет"</f>
        <v>нет</v>
      </c>
      <c r="BO624" s="5" t="str">
        <f>""</f>
        <v/>
      </c>
      <c r="BP624" s="5" t="str">
        <f>""</f>
        <v/>
      </c>
      <c r="BQ624" s="5" t="str">
        <f>""</f>
        <v/>
      </c>
      <c r="BR624" s="5" t="str">
        <f>""</f>
        <v/>
      </c>
      <c r="BS624" s="5" t="str">
        <f>"10,00"</f>
        <v>10,00</v>
      </c>
      <c r="BT624" s="5" t="str">
        <f>"2024"</f>
        <v>2024</v>
      </c>
      <c r="BU624" s="5" t="str">
        <f t="shared" si="834"/>
        <v>нет</v>
      </c>
      <c r="BV624" s="5" t="str">
        <f t="shared" si="835"/>
        <v>x</v>
      </c>
      <c r="BW624" s="5" t="str">
        <f t="shared" si="835"/>
        <v>x</v>
      </c>
      <c r="BX624" s="5" t="str">
        <f t="shared" si="835"/>
        <v>x</v>
      </c>
      <c r="BY624" s="5" t="str">
        <f t="shared" ref="BY624:BY629" si="841">"да"</f>
        <v>да</v>
      </c>
      <c r="BZ624" s="5" t="str">
        <f>""</f>
        <v/>
      </c>
      <c r="CA624" s="5" t="str">
        <f>"10,00"</f>
        <v>10,00</v>
      </c>
      <c r="CB624" s="5" t="str">
        <f>"2030"</f>
        <v>2030</v>
      </c>
      <c r="CC624" s="5" t="str">
        <f>""</f>
        <v/>
      </c>
      <c r="CD624" s="5" t="str">
        <f>"10,00"</f>
        <v>10,00</v>
      </c>
      <c r="CE624" s="5" t="str">
        <f>"2030"</f>
        <v>2030</v>
      </c>
      <c r="CF624" s="5" t="str">
        <f>""</f>
        <v/>
      </c>
      <c r="CG624" s="5" t="str">
        <f>"10,00"</f>
        <v>10,00</v>
      </c>
      <c r="CH624" s="5" t="str">
        <f>"2030"</f>
        <v>2030</v>
      </c>
      <c r="CI624" s="5" t="str">
        <f>"10,00"</f>
        <v>10,00</v>
      </c>
      <c r="CJ624" s="5" t="str">
        <f>"2030"</f>
        <v>2030</v>
      </c>
    </row>
    <row r="625" spans="1:88" ht="11.25" customHeight="1">
      <c r="A625" s="3" t="str">
        <f>"1.612"</f>
        <v>1.612</v>
      </c>
      <c r="B625" s="4" t="str">
        <f>"пгт. Вохтога, ул. Юбилейная, д.12"</f>
        <v>пгт. Вохтога, ул. Юбилейная, д.12</v>
      </c>
      <c r="C625" s="7" t="str">
        <f>"1992"</f>
        <v>1992</v>
      </c>
      <c r="D625" s="5" t="str">
        <f>""</f>
        <v/>
      </c>
      <c r="E625" s="5" t="str">
        <f>"15,00"</f>
        <v>15,00</v>
      </c>
      <c r="F625" s="5" t="str">
        <f>"2026"</f>
        <v>2026</v>
      </c>
      <c r="G625" s="5" t="str">
        <f t="shared" si="826"/>
        <v>да</v>
      </c>
      <c r="H625" s="5" t="str">
        <f>""</f>
        <v/>
      </c>
      <c r="I625" s="5" t="str">
        <f>"10,00"</f>
        <v>10,00</v>
      </c>
      <c r="J625" s="5" t="str">
        <f>"2026"</f>
        <v>2026</v>
      </c>
      <c r="K625" s="5" t="str">
        <f t="shared" si="830"/>
        <v>да</v>
      </c>
      <c r="L625" s="5" t="str">
        <f>""</f>
        <v/>
      </c>
      <c r="M625" s="5" t="str">
        <f>"10,00"</f>
        <v>10,00</v>
      </c>
      <c r="N625" s="5" t="str">
        <f>"2026"</f>
        <v>2026</v>
      </c>
      <c r="O625" s="8" t="str">
        <f>""</f>
        <v/>
      </c>
      <c r="P625" s="5" t="str">
        <f>"10,00"</f>
        <v>10,00</v>
      </c>
      <c r="Q625" s="5" t="str">
        <f>"2025"</f>
        <v>2025</v>
      </c>
      <c r="R625" s="5" t="str">
        <f t="shared" si="812"/>
        <v>нет</v>
      </c>
      <c r="S625" s="5" t="str">
        <f>""</f>
        <v/>
      </c>
      <c r="T625" s="5" t="str">
        <f>""</f>
        <v/>
      </c>
      <c r="U625" s="5" t="str">
        <f>""</f>
        <v/>
      </c>
      <c r="V625" s="5" t="str">
        <f t="shared" si="813"/>
        <v>нет</v>
      </c>
      <c r="W625" s="5" t="str">
        <f>""</f>
        <v/>
      </c>
      <c r="X625" s="5" t="str">
        <f>""</f>
        <v/>
      </c>
      <c r="Y625" s="9" t="str">
        <f>""</f>
        <v/>
      </c>
      <c r="Z625" s="5" t="str">
        <f>""</f>
        <v/>
      </c>
      <c r="AA625" s="5" t="str">
        <f>"12,00"</f>
        <v>12,00</v>
      </c>
      <c r="AB625" s="5" t="str">
        <f>"2027"</f>
        <v>2027</v>
      </c>
      <c r="AC625" s="5" t="str">
        <f t="shared" ref="AC625:AC636" si="842">"нет"</f>
        <v>нет</v>
      </c>
      <c r="AD625" s="5" t="str">
        <f>""</f>
        <v/>
      </c>
      <c r="AE625" s="5" t="str">
        <f>""</f>
        <v/>
      </c>
      <c r="AF625" s="5" t="str">
        <f>""</f>
        <v/>
      </c>
      <c r="AG625" s="5" t="str">
        <f t="shared" ref="AG625:AG636" si="843">"нет"</f>
        <v>нет</v>
      </c>
      <c r="AH625" s="5" t="str">
        <f>""</f>
        <v/>
      </c>
      <c r="AI625" s="5" t="str">
        <f>""</f>
        <v/>
      </c>
      <c r="AJ625" s="5" t="str">
        <f>""</f>
        <v/>
      </c>
      <c r="AK625" s="8" t="str">
        <f>""</f>
        <v/>
      </c>
      <c r="AL625" s="5" t="str">
        <f>"15,00"</f>
        <v>15,00</v>
      </c>
      <c r="AM625" s="5" t="str">
        <f>"2025"</f>
        <v>2025</v>
      </c>
      <c r="AN625" s="5" t="str">
        <f t="shared" si="821"/>
        <v>нет</v>
      </c>
      <c r="AO625" s="5" t="str">
        <f>""</f>
        <v/>
      </c>
      <c r="AP625" s="5" t="str">
        <f>""</f>
        <v/>
      </c>
      <c r="AQ625" s="5" t="str">
        <f>""</f>
        <v/>
      </c>
      <c r="AR625" s="5" t="str">
        <f t="shared" si="817"/>
        <v>нет</v>
      </c>
      <c r="AS625" s="5" t="str">
        <f>""</f>
        <v/>
      </c>
      <c r="AT625" s="5" t="str">
        <f>""</f>
        <v/>
      </c>
      <c r="AU625" s="5" t="str">
        <f>""</f>
        <v/>
      </c>
      <c r="AV625" s="5" t="str">
        <f>""</f>
        <v/>
      </c>
      <c r="AW625" s="5" t="str">
        <f>"15,00"</f>
        <v>15,00</v>
      </c>
      <c r="AX625" s="5" t="str">
        <f>"2025"</f>
        <v>2025</v>
      </c>
      <c r="AY625" s="5" t="str">
        <f t="shared" si="837"/>
        <v>нет</v>
      </c>
      <c r="AZ625" s="5" t="str">
        <f>""</f>
        <v/>
      </c>
      <c r="BA625" s="5" t="str">
        <f>""</f>
        <v/>
      </c>
      <c r="BB625" s="5" t="str">
        <f>""</f>
        <v/>
      </c>
      <c r="BC625" s="5" t="str">
        <f t="shared" si="838"/>
        <v>да</v>
      </c>
      <c r="BD625" s="5" t="str">
        <f>""</f>
        <v/>
      </c>
      <c r="BE625" s="5" t="str">
        <f>"15,00"</f>
        <v>15,00</v>
      </c>
      <c r="BF625" s="5" t="str">
        <f>"2025"</f>
        <v>2025</v>
      </c>
      <c r="BG625" s="5" t="str">
        <f>""</f>
        <v/>
      </c>
      <c r="BH625" s="5" t="str">
        <f>"10,00"</f>
        <v>10,00</v>
      </c>
      <c r="BI625" s="5" t="str">
        <f>"2030"</f>
        <v>2030</v>
      </c>
      <c r="BJ625" s="5" t="str">
        <f t="shared" si="839"/>
        <v>нет</v>
      </c>
      <c r="BK625" s="5" t="str">
        <f>""</f>
        <v/>
      </c>
      <c r="BL625" s="5" t="str">
        <f>""</f>
        <v/>
      </c>
      <c r="BM625" s="5" t="str">
        <f>""</f>
        <v/>
      </c>
      <c r="BN625" s="5" t="str">
        <f t="shared" si="840"/>
        <v>нет</v>
      </c>
      <c r="BO625" s="5" t="str">
        <f>""</f>
        <v/>
      </c>
      <c r="BP625" s="5" t="str">
        <f>""</f>
        <v/>
      </c>
      <c r="BQ625" s="5" t="str">
        <f>""</f>
        <v/>
      </c>
      <c r="BR625" s="5" t="str">
        <f>""</f>
        <v/>
      </c>
      <c r="BS625" s="5" t="str">
        <f>"25,00"</f>
        <v>25,00</v>
      </c>
      <c r="BT625" s="5" t="str">
        <f>"2022"</f>
        <v>2022</v>
      </c>
      <c r="BU625" s="5" t="str">
        <f t="shared" si="834"/>
        <v>нет</v>
      </c>
      <c r="BV625" s="5" t="str">
        <f t="shared" si="835"/>
        <v>x</v>
      </c>
      <c r="BW625" s="5" t="str">
        <f t="shared" si="835"/>
        <v>x</v>
      </c>
      <c r="BX625" s="5" t="str">
        <f t="shared" si="835"/>
        <v>x</v>
      </c>
      <c r="BY625" s="5" t="str">
        <f t="shared" si="841"/>
        <v>да</v>
      </c>
      <c r="BZ625" s="5" t="str">
        <f>""</f>
        <v/>
      </c>
      <c r="CA625" s="5" t="str">
        <f>"20,00"</f>
        <v>20,00</v>
      </c>
      <c r="CB625" s="5" t="str">
        <f>"2030"</f>
        <v>2030</v>
      </c>
      <c r="CC625" s="5" t="str">
        <f>""</f>
        <v/>
      </c>
      <c r="CD625" s="5" t="str">
        <f>"15,00"</f>
        <v>15,00</v>
      </c>
      <c r="CE625" s="5" t="str">
        <f>"2030"</f>
        <v>2030</v>
      </c>
      <c r="CF625" s="5" t="str">
        <f>""</f>
        <v/>
      </c>
      <c r="CG625" s="5" t="str">
        <f>"15,00"</f>
        <v>15,00</v>
      </c>
      <c r="CH625" s="5" t="str">
        <f>"2030"</f>
        <v>2030</v>
      </c>
      <c r="CI625" s="5" t="str">
        <f>"12,00"</f>
        <v>12,00</v>
      </c>
      <c r="CJ625" s="5" t="str">
        <f>"2030"</f>
        <v>2030</v>
      </c>
    </row>
    <row r="626" spans="1:88" ht="11.25" customHeight="1">
      <c r="A626" s="3" t="str">
        <f>"1.613"</f>
        <v>1.613</v>
      </c>
      <c r="B626" s="4" t="str">
        <f>"пгт. Вохтога, ул. Юбилейная, д.14"</f>
        <v>пгт. Вохтога, ул. Юбилейная, д.14</v>
      </c>
      <c r="C626" s="7" t="str">
        <f>"1980"</f>
        <v>1980</v>
      </c>
      <c r="D626" s="5" t="str">
        <f>""</f>
        <v/>
      </c>
      <c r="E626" s="5" t="str">
        <f>"7,00"</f>
        <v>7,00</v>
      </c>
      <c r="F626" s="5" t="str">
        <f>"2020"</f>
        <v>2020</v>
      </c>
      <c r="G626" s="5" t="str">
        <f t="shared" si="826"/>
        <v>да</v>
      </c>
      <c r="H626" s="5" t="str">
        <f>""</f>
        <v/>
      </c>
      <c r="I626" s="5" t="str">
        <f>"7,00"</f>
        <v>7,00</v>
      </c>
      <c r="J626" s="5" t="str">
        <f t="shared" ref="J626:J631" si="844">"2020"</f>
        <v>2020</v>
      </c>
      <c r="K626" s="5" t="str">
        <f t="shared" si="830"/>
        <v>да</v>
      </c>
      <c r="L626" s="5" t="str">
        <f>""</f>
        <v/>
      </c>
      <c r="M626" s="5" t="str">
        <f>"7,00"</f>
        <v>7,00</v>
      </c>
      <c r="N626" s="5" t="str">
        <f>"2020"</f>
        <v>2020</v>
      </c>
      <c r="O626" s="8" t="str">
        <f>""</f>
        <v/>
      </c>
      <c r="P626" s="5" t="str">
        <f>"7,00"</f>
        <v>7,00</v>
      </c>
      <c r="Q626" s="5" t="str">
        <f>"2024"</f>
        <v>2024</v>
      </c>
      <c r="R626" s="5" t="str">
        <f>"да"</f>
        <v>да</v>
      </c>
      <c r="S626" s="5" t="str">
        <f>"2013"</f>
        <v>2013</v>
      </c>
      <c r="T626" s="5" t="str">
        <f>"0,00"</f>
        <v>0,00</v>
      </c>
      <c r="U626" s="5" t="str">
        <f>"2017"</f>
        <v>2017</v>
      </c>
      <c r="V626" s="5" t="str">
        <f t="shared" si="813"/>
        <v>нет</v>
      </c>
      <c r="W626" s="5" t="str">
        <f>""</f>
        <v/>
      </c>
      <c r="X626" s="5" t="str">
        <f>""</f>
        <v/>
      </c>
      <c r="Y626" s="9" t="str">
        <f>""</f>
        <v/>
      </c>
      <c r="Z626" s="5" t="str">
        <f>""</f>
        <v/>
      </c>
      <c r="AA626" s="5" t="str">
        <f>"7,00"</f>
        <v>7,00</v>
      </c>
      <c r="AB626" s="5" t="str">
        <f>"2034"</f>
        <v>2034</v>
      </c>
      <c r="AC626" s="5" t="str">
        <f t="shared" si="842"/>
        <v>нет</v>
      </c>
      <c r="AD626" s="5" t="str">
        <f>""</f>
        <v/>
      </c>
      <c r="AE626" s="5" t="str">
        <f>""</f>
        <v/>
      </c>
      <c r="AF626" s="5" t="str">
        <f>""</f>
        <v/>
      </c>
      <c r="AG626" s="5" t="str">
        <f t="shared" si="843"/>
        <v>нет</v>
      </c>
      <c r="AH626" s="5" t="str">
        <f>""</f>
        <v/>
      </c>
      <c r="AI626" s="5" t="str">
        <f>""</f>
        <v/>
      </c>
      <c r="AJ626" s="5" t="str">
        <f>""</f>
        <v/>
      </c>
      <c r="AK626" s="8" t="str">
        <f>""</f>
        <v/>
      </c>
      <c r="AL626" s="5" t="str">
        <f>"7,00"</f>
        <v>7,00</v>
      </c>
      <c r="AM626" s="5" t="str">
        <f>"2025"</f>
        <v>2025</v>
      </c>
      <c r="AN626" s="5" t="str">
        <f>"да"</f>
        <v>да</v>
      </c>
      <c r="AO626" s="5" t="str">
        <f>"2010"</f>
        <v>2010</v>
      </c>
      <c r="AP626" s="5" t="str">
        <f>"7,00"</f>
        <v>7,00</v>
      </c>
      <c r="AQ626" s="5" t="str">
        <f>"2020"</f>
        <v>2020</v>
      </c>
      <c r="AR626" s="5" t="str">
        <f t="shared" si="817"/>
        <v>нет</v>
      </c>
      <c r="AS626" s="5" t="str">
        <f>""</f>
        <v/>
      </c>
      <c r="AT626" s="5" t="str">
        <f>""</f>
        <v/>
      </c>
      <c r="AU626" s="5" t="str">
        <f>""</f>
        <v/>
      </c>
      <c r="AV626" s="5" t="str">
        <f>""</f>
        <v/>
      </c>
      <c r="AW626" s="5" t="str">
        <f>"7,00"</f>
        <v>7,00</v>
      </c>
      <c r="AX626" s="5" t="str">
        <f>"2025"</f>
        <v>2025</v>
      </c>
      <c r="AY626" s="5" t="str">
        <f t="shared" si="837"/>
        <v>нет</v>
      </c>
      <c r="AZ626" s="5" t="str">
        <f>""</f>
        <v/>
      </c>
      <c r="BA626" s="5" t="str">
        <f>""</f>
        <v/>
      </c>
      <c r="BB626" s="5" t="str">
        <f>""</f>
        <v/>
      </c>
      <c r="BC626" s="5" t="str">
        <f t="shared" si="838"/>
        <v>да</v>
      </c>
      <c r="BD626" s="5" t="str">
        <f>""</f>
        <v/>
      </c>
      <c r="BE626" s="5" t="str">
        <f>"7,00"</f>
        <v>7,00</v>
      </c>
      <c r="BF626" s="5" t="str">
        <f>"2025"</f>
        <v>2025</v>
      </c>
      <c r="BG626" s="5" t="str">
        <f>""</f>
        <v/>
      </c>
      <c r="BH626" s="5" t="str">
        <f>"7,00"</f>
        <v>7,00</v>
      </c>
      <c r="BI626" s="5" t="str">
        <f>"2030"</f>
        <v>2030</v>
      </c>
      <c r="BJ626" s="5" t="str">
        <f t="shared" si="839"/>
        <v>нет</v>
      </c>
      <c r="BK626" s="5" t="str">
        <f>""</f>
        <v/>
      </c>
      <c r="BL626" s="5" t="str">
        <f>""</f>
        <v/>
      </c>
      <c r="BM626" s="5" t="str">
        <f>""</f>
        <v/>
      </c>
      <c r="BN626" s="5" t="str">
        <f t="shared" si="840"/>
        <v>нет</v>
      </c>
      <c r="BO626" s="5" t="str">
        <f>""</f>
        <v/>
      </c>
      <c r="BP626" s="5" t="str">
        <f>""</f>
        <v/>
      </c>
      <c r="BQ626" s="5" t="str">
        <f>""</f>
        <v/>
      </c>
      <c r="BR626" s="5" t="str">
        <f>"2010"</f>
        <v>2010</v>
      </c>
      <c r="BS626" s="5" t="str">
        <f>"0,00"</f>
        <v>0,00</v>
      </c>
      <c r="BT626" s="5" t="str">
        <f>"2032"</f>
        <v>2032</v>
      </c>
      <c r="BU626" s="5" t="str">
        <f t="shared" si="834"/>
        <v>нет</v>
      </c>
      <c r="BV626" s="5" t="str">
        <f t="shared" si="835"/>
        <v>x</v>
      </c>
      <c r="BW626" s="5" t="str">
        <f t="shared" si="835"/>
        <v>x</v>
      </c>
      <c r="BX626" s="5" t="str">
        <f t="shared" si="835"/>
        <v>x</v>
      </c>
      <c r="BY626" s="5" t="str">
        <f t="shared" si="841"/>
        <v>да</v>
      </c>
      <c r="BZ626" s="5" t="str">
        <f>""</f>
        <v/>
      </c>
      <c r="CA626" s="5" t="str">
        <f>"7,00"</f>
        <v>7,00</v>
      </c>
      <c r="CB626" s="5" t="str">
        <f>"2027"</f>
        <v>2027</v>
      </c>
      <c r="CC626" s="5" t="str">
        <f>""</f>
        <v/>
      </c>
      <c r="CD626" s="5" t="str">
        <f>"7,00"</f>
        <v>7,00</v>
      </c>
      <c r="CE626" s="5" t="str">
        <f>"2030"</f>
        <v>2030</v>
      </c>
      <c r="CF626" s="5" t="str">
        <f>""</f>
        <v/>
      </c>
      <c r="CG626" s="5" t="str">
        <f>"7,00"</f>
        <v>7,00</v>
      </c>
      <c r="CH626" s="5" t="str">
        <f>"2030"</f>
        <v>2030</v>
      </c>
      <c r="CI626" s="5" t="str">
        <f>"7,00"</f>
        <v>7,00</v>
      </c>
      <c r="CJ626" s="5" t="str">
        <f>"2025"</f>
        <v>2025</v>
      </c>
    </row>
    <row r="627" spans="1:88" ht="11.25" customHeight="1">
      <c r="A627" s="3" t="str">
        <f>"1.614"</f>
        <v>1.614</v>
      </c>
      <c r="B627" s="4" t="str">
        <f>"пгт. Вохтога, ул. Юбилейная, д.15"</f>
        <v>пгт. Вохтога, ул. Юбилейная, д.15</v>
      </c>
      <c r="C627" s="7" t="str">
        <f>"1994"</f>
        <v>1994</v>
      </c>
      <c r="D627" s="5" t="str">
        <f>""</f>
        <v/>
      </c>
      <c r="E627" s="5" t="str">
        <f>"5,00"</f>
        <v>5,00</v>
      </c>
      <c r="F627" s="5" t="str">
        <f>"2035"</f>
        <v>2035</v>
      </c>
      <c r="G627" s="5" t="str">
        <f t="shared" si="826"/>
        <v>да</v>
      </c>
      <c r="H627" s="5" t="str">
        <f>"2010"</f>
        <v>2010</v>
      </c>
      <c r="I627" s="5" t="str">
        <f>"5,00"</f>
        <v>5,00</v>
      </c>
      <c r="J627" s="5" t="str">
        <f t="shared" si="844"/>
        <v>2020</v>
      </c>
      <c r="K627" s="5" t="str">
        <f t="shared" si="830"/>
        <v>да</v>
      </c>
      <c r="L627" s="5" t="str">
        <f>""</f>
        <v/>
      </c>
      <c r="M627" s="5" t="str">
        <f>"5,00"</f>
        <v>5,00</v>
      </c>
      <c r="N627" s="5" t="str">
        <f>"2035"</f>
        <v>2035</v>
      </c>
      <c r="O627" s="8" t="str">
        <f>""</f>
        <v/>
      </c>
      <c r="P627" s="5" t="str">
        <f>"5,00"</f>
        <v>5,00</v>
      </c>
      <c r="Q627" s="5" t="str">
        <f>"2025"</f>
        <v>2025</v>
      </c>
      <c r="R627" s="5" t="str">
        <f>"нет"</f>
        <v>нет</v>
      </c>
      <c r="S627" s="5" t="str">
        <f>""</f>
        <v/>
      </c>
      <c r="T627" s="5" t="str">
        <f>""</f>
        <v/>
      </c>
      <c r="U627" s="5" t="str">
        <f>""</f>
        <v/>
      </c>
      <c r="V627" s="5" t="str">
        <f t="shared" si="813"/>
        <v>нет</v>
      </c>
      <c r="W627" s="5" t="str">
        <f>""</f>
        <v/>
      </c>
      <c r="X627" s="5" t="str">
        <f>""</f>
        <v/>
      </c>
      <c r="Y627" s="9" t="str">
        <f>""</f>
        <v/>
      </c>
      <c r="Z627" s="5" t="str">
        <f>""</f>
        <v/>
      </c>
      <c r="AA627" s="5" t="str">
        <f>"5,00"</f>
        <v>5,00</v>
      </c>
      <c r="AB627" s="5" t="str">
        <f>"2045"</f>
        <v>2045</v>
      </c>
      <c r="AC627" s="5" t="str">
        <f t="shared" si="842"/>
        <v>нет</v>
      </c>
      <c r="AD627" s="5" t="str">
        <f>""</f>
        <v/>
      </c>
      <c r="AE627" s="5" t="str">
        <f>""</f>
        <v/>
      </c>
      <c r="AF627" s="5" t="str">
        <f>""</f>
        <v/>
      </c>
      <c r="AG627" s="5" t="str">
        <f t="shared" si="843"/>
        <v>нет</v>
      </c>
      <c r="AH627" s="5" t="str">
        <f>""</f>
        <v/>
      </c>
      <c r="AI627" s="5" t="str">
        <f>""</f>
        <v/>
      </c>
      <c r="AJ627" s="5" t="str">
        <f>""</f>
        <v/>
      </c>
      <c r="AK627" s="8" t="str">
        <f>""</f>
        <v/>
      </c>
      <c r="AL627" s="5" t="str">
        <f>"5,00"</f>
        <v>5,00</v>
      </c>
      <c r="AM627" s="5" t="str">
        <f>"2030"</f>
        <v>2030</v>
      </c>
      <c r="AN627" s="5" t="str">
        <f>"нет"</f>
        <v>нет</v>
      </c>
      <c r="AO627" s="5" t="str">
        <f>""</f>
        <v/>
      </c>
      <c r="AP627" s="5" t="str">
        <f>""</f>
        <v/>
      </c>
      <c r="AQ627" s="5" t="str">
        <f>""</f>
        <v/>
      </c>
      <c r="AR627" s="5" t="str">
        <f t="shared" si="817"/>
        <v>нет</v>
      </c>
      <c r="AS627" s="5" t="str">
        <f>""</f>
        <v/>
      </c>
      <c r="AT627" s="5" t="str">
        <f>""</f>
        <v/>
      </c>
      <c r="AU627" s="5" t="str">
        <f>""</f>
        <v/>
      </c>
      <c r="AV627" s="5" t="str">
        <f>""</f>
        <v/>
      </c>
      <c r="AW627" s="5" t="str">
        <f>"5,00"</f>
        <v>5,00</v>
      </c>
      <c r="AX627" s="5" t="str">
        <f>"2028"</f>
        <v>2028</v>
      </c>
      <c r="AY627" s="5" t="str">
        <f t="shared" si="837"/>
        <v>нет</v>
      </c>
      <c r="AZ627" s="5" t="str">
        <f>""</f>
        <v/>
      </c>
      <c r="BA627" s="5" t="str">
        <f>""</f>
        <v/>
      </c>
      <c r="BB627" s="5" t="str">
        <f>""</f>
        <v/>
      </c>
      <c r="BC627" s="5" t="str">
        <f t="shared" si="838"/>
        <v>да</v>
      </c>
      <c r="BD627" s="5" t="str">
        <f>""</f>
        <v/>
      </c>
      <c r="BE627" s="5" t="str">
        <f>"5,00"</f>
        <v>5,00</v>
      </c>
      <c r="BF627" s="5" t="str">
        <f>"2028"</f>
        <v>2028</v>
      </c>
      <c r="BG627" s="5" t="str">
        <f>""</f>
        <v/>
      </c>
      <c r="BH627" s="5" t="str">
        <f>"5,00"</f>
        <v>5,00</v>
      </c>
      <c r="BI627" s="5" t="str">
        <f>"2039"</f>
        <v>2039</v>
      </c>
      <c r="BJ627" s="5" t="str">
        <f t="shared" si="839"/>
        <v>нет</v>
      </c>
      <c r="BK627" s="5" t="str">
        <f>""</f>
        <v/>
      </c>
      <c r="BL627" s="5" t="str">
        <f>""</f>
        <v/>
      </c>
      <c r="BM627" s="5" t="str">
        <f>""</f>
        <v/>
      </c>
      <c r="BN627" s="5" t="str">
        <f t="shared" si="840"/>
        <v>нет</v>
      </c>
      <c r="BO627" s="5" t="str">
        <f>""</f>
        <v/>
      </c>
      <c r="BP627" s="5" t="str">
        <f>""</f>
        <v/>
      </c>
      <c r="BQ627" s="5" t="str">
        <f>""</f>
        <v/>
      </c>
      <c r="BR627" s="5" t="str">
        <f>""</f>
        <v/>
      </c>
      <c r="BS627" s="5" t="str">
        <f>"5,00"</f>
        <v>5,00</v>
      </c>
      <c r="BT627" s="5" t="str">
        <f>"2027"</f>
        <v>2027</v>
      </c>
      <c r="BU627" s="5" t="str">
        <f t="shared" si="834"/>
        <v>нет</v>
      </c>
      <c r="BV627" s="5" t="str">
        <f t="shared" si="835"/>
        <v>x</v>
      </c>
      <c r="BW627" s="5" t="str">
        <f t="shared" si="835"/>
        <v>x</v>
      </c>
      <c r="BX627" s="5" t="str">
        <f t="shared" si="835"/>
        <v>x</v>
      </c>
      <c r="BY627" s="5" t="str">
        <f t="shared" si="841"/>
        <v>да</v>
      </c>
      <c r="BZ627" s="5" t="str">
        <f>""</f>
        <v/>
      </c>
      <c r="CA627" s="5" t="str">
        <f>"5,00"</f>
        <v>5,00</v>
      </c>
      <c r="CB627" s="5" t="str">
        <f>"2039"</f>
        <v>2039</v>
      </c>
      <c r="CC627" s="5" t="str">
        <f>""</f>
        <v/>
      </c>
      <c r="CD627" s="5" t="str">
        <f>"5,00"</f>
        <v>5,00</v>
      </c>
      <c r="CE627" s="5" t="str">
        <f>"2045"</f>
        <v>2045</v>
      </c>
      <c r="CF627" s="5" t="str">
        <f>""</f>
        <v/>
      </c>
      <c r="CG627" s="5" t="str">
        <f>"5,00"</f>
        <v>5,00</v>
      </c>
      <c r="CH627" s="5" t="str">
        <f>"2039"</f>
        <v>2039</v>
      </c>
      <c r="CI627" s="5" t="str">
        <f>"5,00"</f>
        <v>5,00</v>
      </c>
      <c r="CJ627" s="5" t="str">
        <f>"2039"</f>
        <v>2039</v>
      </c>
    </row>
    <row r="628" spans="1:88" ht="11.25" customHeight="1">
      <c r="A628" s="3" t="str">
        <f>"1.615"</f>
        <v>1.615</v>
      </c>
      <c r="B628" s="4" t="str">
        <f>"пгт. Вохтога, ул. Юбилейная, д.16"</f>
        <v>пгт. Вохтога, ул. Юбилейная, д.16</v>
      </c>
      <c r="C628" s="7" t="str">
        <f>"1979"</f>
        <v>1979</v>
      </c>
      <c r="D628" s="5" t="str">
        <f>""</f>
        <v/>
      </c>
      <c r="E628" s="5" t="str">
        <f>"45,00"</f>
        <v>45,00</v>
      </c>
      <c r="F628" s="5" t="str">
        <f>"2020"</f>
        <v>2020</v>
      </c>
      <c r="G628" s="5" t="str">
        <f t="shared" si="826"/>
        <v>да</v>
      </c>
      <c r="H628" s="5" t="str">
        <f>"2010"</f>
        <v>2010</v>
      </c>
      <c r="I628" s="5" t="str">
        <f>"10,00"</f>
        <v>10,00</v>
      </c>
      <c r="J628" s="5" t="str">
        <f t="shared" si="844"/>
        <v>2020</v>
      </c>
      <c r="K628" s="5" t="str">
        <f t="shared" si="830"/>
        <v>да</v>
      </c>
      <c r="L628" s="5" t="str">
        <f>""</f>
        <v/>
      </c>
      <c r="M628" s="5" t="str">
        <f>"45,00"</f>
        <v>45,00</v>
      </c>
      <c r="N628" s="5" t="str">
        <f>"2020"</f>
        <v>2020</v>
      </c>
      <c r="O628" s="8" t="str">
        <f>""</f>
        <v/>
      </c>
      <c r="P628" s="5" t="str">
        <f>"35,00"</f>
        <v>35,00</v>
      </c>
      <c r="Q628" s="5" t="str">
        <f>"2020"</f>
        <v>2020</v>
      </c>
      <c r="R628" s="5" t="str">
        <f>"нет"</f>
        <v>нет</v>
      </c>
      <c r="S628" s="5" t="str">
        <f>""</f>
        <v/>
      </c>
      <c r="T628" s="5" t="str">
        <f>""</f>
        <v/>
      </c>
      <c r="U628" s="5" t="str">
        <f>""</f>
        <v/>
      </c>
      <c r="V628" s="5" t="str">
        <f t="shared" si="813"/>
        <v>нет</v>
      </c>
      <c r="W628" s="5" t="str">
        <f>""</f>
        <v/>
      </c>
      <c r="X628" s="5" t="str">
        <f>""</f>
        <v/>
      </c>
      <c r="Y628" s="9" t="str">
        <f>""</f>
        <v/>
      </c>
      <c r="Z628" s="5" t="str">
        <f>""</f>
        <v/>
      </c>
      <c r="AA628" s="5" t="str">
        <f>"5,00"</f>
        <v>5,00</v>
      </c>
      <c r="AB628" s="5" t="str">
        <f>"2045"</f>
        <v>2045</v>
      </c>
      <c r="AC628" s="5" t="str">
        <f t="shared" si="842"/>
        <v>нет</v>
      </c>
      <c r="AD628" s="5" t="str">
        <f>""</f>
        <v/>
      </c>
      <c r="AE628" s="5" t="str">
        <f>""</f>
        <v/>
      </c>
      <c r="AF628" s="5" t="str">
        <f>""</f>
        <v/>
      </c>
      <c r="AG628" s="5" t="str">
        <f t="shared" si="843"/>
        <v>нет</v>
      </c>
      <c r="AH628" s="5" t="str">
        <f>""</f>
        <v/>
      </c>
      <c r="AI628" s="5" t="str">
        <f>""</f>
        <v/>
      </c>
      <c r="AJ628" s="5" t="str">
        <f>""</f>
        <v/>
      </c>
      <c r="AK628" s="8" t="str">
        <f>""</f>
        <v/>
      </c>
      <c r="AL628" s="5" t="str">
        <f>"45,00"</f>
        <v>45,00</v>
      </c>
      <c r="AM628" s="5" t="str">
        <f>"2027"</f>
        <v>2027</v>
      </c>
      <c r="AN628" s="5" t="str">
        <f>"нет"</f>
        <v>нет</v>
      </c>
      <c r="AO628" s="5" t="str">
        <f>""</f>
        <v/>
      </c>
      <c r="AP628" s="5" t="str">
        <f>""</f>
        <v/>
      </c>
      <c r="AQ628" s="5" t="str">
        <f>""</f>
        <v/>
      </c>
      <c r="AR628" s="5" t="str">
        <f t="shared" si="817"/>
        <v>нет</v>
      </c>
      <c r="AS628" s="5" t="str">
        <f>""</f>
        <v/>
      </c>
      <c r="AT628" s="5" t="str">
        <f>""</f>
        <v/>
      </c>
      <c r="AU628" s="5" t="str">
        <f>""</f>
        <v/>
      </c>
      <c r="AV628" s="5" t="str">
        <f>""</f>
        <v/>
      </c>
      <c r="AW628" s="5" t="str">
        <f>"45,00"</f>
        <v>45,00</v>
      </c>
      <c r="AX628" s="5" t="str">
        <f>"2027"</f>
        <v>2027</v>
      </c>
      <c r="AY628" s="5" t="str">
        <f t="shared" si="837"/>
        <v>нет</v>
      </c>
      <c r="AZ628" s="5" t="str">
        <f>""</f>
        <v/>
      </c>
      <c r="BA628" s="5" t="str">
        <f>""</f>
        <v/>
      </c>
      <c r="BB628" s="5" t="str">
        <f>""</f>
        <v/>
      </c>
      <c r="BC628" s="5" t="str">
        <f t="shared" si="838"/>
        <v>да</v>
      </c>
      <c r="BD628" s="5" t="str">
        <f>""</f>
        <v/>
      </c>
      <c r="BE628" s="5" t="str">
        <f>"45,00"</f>
        <v>45,00</v>
      </c>
      <c r="BF628" s="5" t="str">
        <f>"2027"</f>
        <v>2027</v>
      </c>
      <c r="BG628" s="5" t="str">
        <f>""</f>
        <v/>
      </c>
      <c r="BH628" s="5" t="str">
        <f>"12,00"</f>
        <v>12,00</v>
      </c>
      <c r="BI628" s="5" t="str">
        <f>"2030"</f>
        <v>2030</v>
      </c>
      <c r="BJ628" s="5" t="str">
        <f t="shared" si="839"/>
        <v>нет</v>
      </c>
      <c r="BK628" s="5" t="str">
        <f>""</f>
        <v/>
      </c>
      <c r="BL628" s="5" t="str">
        <f>""</f>
        <v/>
      </c>
      <c r="BM628" s="5" t="str">
        <f>""</f>
        <v/>
      </c>
      <c r="BN628" s="5" t="str">
        <f t="shared" si="840"/>
        <v>нет</v>
      </c>
      <c r="BO628" s="5" t="str">
        <f>""</f>
        <v/>
      </c>
      <c r="BP628" s="5" t="str">
        <f>""</f>
        <v/>
      </c>
      <c r="BQ628" s="5" t="str">
        <f>""</f>
        <v/>
      </c>
      <c r="BR628" s="5" t="str">
        <f>""</f>
        <v/>
      </c>
      <c r="BS628" s="5" t="str">
        <f>"64,00"</f>
        <v>64,00</v>
      </c>
      <c r="BT628" s="5" t="str">
        <f>"2015"</f>
        <v>2015</v>
      </c>
      <c r="BU628" s="5" t="str">
        <f t="shared" si="834"/>
        <v>нет</v>
      </c>
      <c r="BV628" s="5" t="str">
        <f t="shared" si="835"/>
        <v>x</v>
      </c>
      <c r="BW628" s="5" t="str">
        <f t="shared" si="835"/>
        <v>x</v>
      </c>
      <c r="BX628" s="5" t="str">
        <f t="shared" si="835"/>
        <v>x</v>
      </c>
      <c r="BY628" s="5" t="str">
        <f t="shared" si="841"/>
        <v>да</v>
      </c>
      <c r="BZ628" s="5" t="str">
        <f>""</f>
        <v/>
      </c>
      <c r="CA628" s="5" t="str">
        <f>"10,00"</f>
        <v>10,00</v>
      </c>
      <c r="CB628" s="5" t="str">
        <f>"2034"</f>
        <v>2034</v>
      </c>
      <c r="CC628" s="5" t="str">
        <f>""</f>
        <v/>
      </c>
      <c r="CD628" s="5" t="str">
        <f>"10,00"</f>
        <v>10,00</v>
      </c>
      <c r="CE628" s="5" t="str">
        <f>"2034"</f>
        <v>2034</v>
      </c>
      <c r="CF628" s="5" t="str">
        <f>""</f>
        <v/>
      </c>
      <c r="CG628" s="5" t="str">
        <f>"10,00"</f>
        <v>10,00</v>
      </c>
      <c r="CH628" s="5" t="str">
        <f>"2034"</f>
        <v>2034</v>
      </c>
      <c r="CI628" s="5" t="str">
        <f>"45,00"</f>
        <v>45,00</v>
      </c>
      <c r="CJ628" s="5" t="str">
        <f>"2034"</f>
        <v>2034</v>
      </c>
    </row>
    <row r="629" spans="1:88" ht="11.25" customHeight="1">
      <c r="A629" s="3" t="str">
        <f>"1.616"</f>
        <v>1.616</v>
      </c>
      <c r="B629" s="4" t="str">
        <f>"пгт. Вохтога, ул. Юбилейная, д.17"</f>
        <v>пгт. Вохтога, ул. Юбилейная, д.17</v>
      </c>
      <c r="C629" s="7" t="str">
        <f>"1976"</f>
        <v>1976</v>
      </c>
      <c r="D629" s="5" t="str">
        <f>""</f>
        <v/>
      </c>
      <c r="E629" s="5" t="str">
        <f>"6,00"</f>
        <v>6,00</v>
      </c>
      <c r="F629" s="5" t="str">
        <f>"2020"</f>
        <v>2020</v>
      </c>
      <c r="G629" s="5" t="str">
        <f t="shared" si="826"/>
        <v>да</v>
      </c>
      <c r="H629" s="5" t="str">
        <f>"2010"</f>
        <v>2010</v>
      </c>
      <c r="I629" s="5" t="str">
        <f>"6,00"</f>
        <v>6,00</v>
      </c>
      <c r="J629" s="5" t="str">
        <f t="shared" si="844"/>
        <v>2020</v>
      </c>
      <c r="K629" s="5" t="str">
        <f t="shared" si="830"/>
        <v>да</v>
      </c>
      <c r="L629" s="5" t="str">
        <f>""</f>
        <v/>
      </c>
      <c r="M629" s="5" t="str">
        <f>"45,00"</f>
        <v>45,00</v>
      </c>
      <c r="N629" s="5" t="str">
        <f>"2020"</f>
        <v>2020</v>
      </c>
      <c r="O629" s="8" t="str">
        <f>"2007"</f>
        <v>2007</v>
      </c>
      <c r="P629" s="5" t="str">
        <f>"2,00"</f>
        <v>2,00</v>
      </c>
      <c r="Q629" s="5" t="str">
        <f>"2024"</f>
        <v>2024</v>
      </c>
      <c r="R629" s="5" t="str">
        <f>"нет"</f>
        <v>нет</v>
      </c>
      <c r="S629" s="5" t="str">
        <f>""</f>
        <v/>
      </c>
      <c r="T629" s="5" t="str">
        <f>""</f>
        <v/>
      </c>
      <c r="U629" s="5" t="str">
        <f>""</f>
        <v/>
      </c>
      <c r="V629" s="5" t="str">
        <f t="shared" si="813"/>
        <v>нет</v>
      </c>
      <c r="W629" s="5" t="str">
        <f>""</f>
        <v/>
      </c>
      <c r="X629" s="5" t="str">
        <f>""</f>
        <v/>
      </c>
      <c r="Y629" s="9" t="str">
        <f>""</f>
        <v/>
      </c>
      <c r="Z629" s="5" t="str">
        <f>""</f>
        <v/>
      </c>
      <c r="AA629" s="5" t="str">
        <f>"2,00"</f>
        <v>2,00</v>
      </c>
      <c r="AB629" s="5" t="str">
        <f>"2043"</f>
        <v>2043</v>
      </c>
      <c r="AC629" s="5" t="str">
        <f t="shared" si="842"/>
        <v>нет</v>
      </c>
      <c r="AD629" s="5" t="str">
        <f>""</f>
        <v/>
      </c>
      <c r="AE629" s="5" t="str">
        <f>""</f>
        <v/>
      </c>
      <c r="AF629" s="5" t="str">
        <f>""</f>
        <v/>
      </c>
      <c r="AG629" s="5" t="str">
        <f t="shared" si="843"/>
        <v>нет</v>
      </c>
      <c r="AH629" s="5" t="str">
        <f>""</f>
        <v/>
      </c>
      <c r="AI629" s="5" t="str">
        <f>""</f>
        <v/>
      </c>
      <c r="AJ629" s="5" t="str">
        <f>""</f>
        <v/>
      </c>
      <c r="AK629" s="8" t="str">
        <f>"2007"</f>
        <v>2007</v>
      </c>
      <c r="AL629" s="5" t="str">
        <f>"25,00"</f>
        <v>25,00</v>
      </c>
      <c r="AM629" s="5" t="str">
        <f>"2024"</f>
        <v>2024</v>
      </c>
      <c r="AN629" s="5" t="str">
        <f>"нет"</f>
        <v>нет</v>
      </c>
      <c r="AO629" s="5" t="str">
        <f>""</f>
        <v/>
      </c>
      <c r="AP629" s="5" t="str">
        <f>""</f>
        <v/>
      </c>
      <c r="AQ629" s="5" t="str">
        <f>""</f>
        <v/>
      </c>
      <c r="AR629" s="5" t="str">
        <f t="shared" si="817"/>
        <v>нет</v>
      </c>
      <c r="AS629" s="5" t="str">
        <f>""</f>
        <v/>
      </c>
      <c r="AT629" s="5" t="str">
        <f>""</f>
        <v/>
      </c>
      <c r="AU629" s="5" t="str">
        <f>""</f>
        <v/>
      </c>
      <c r="AV629" s="5" t="str">
        <f>"2007"</f>
        <v>2007</v>
      </c>
      <c r="AW629" s="5" t="str">
        <f>"6,00"</f>
        <v>6,00</v>
      </c>
      <c r="AX629" s="5" t="str">
        <f>"2030"</f>
        <v>2030</v>
      </c>
      <c r="AY629" s="5" t="str">
        <f t="shared" si="837"/>
        <v>нет</v>
      </c>
      <c r="AZ629" s="5" t="str">
        <f>""</f>
        <v/>
      </c>
      <c r="BA629" s="5" t="str">
        <f>""</f>
        <v/>
      </c>
      <c r="BB629" s="5" t="str">
        <f>""</f>
        <v/>
      </c>
      <c r="BC629" s="5" t="str">
        <f t="shared" si="838"/>
        <v>да</v>
      </c>
      <c r="BD629" s="5" t="str">
        <f>""</f>
        <v/>
      </c>
      <c r="BE629" s="5" t="str">
        <f>"6,00"</f>
        <v>6,00</v>
      </c>
      <c r="BF629" s="5" t="str">
        <f>"2030"</f>
        <v>2030</v>
      </c>
      <c r="BG629" s="5" t="str">
        <f>""</f>
        <v/>
      </c>
      <c r="BH629" s="5" t="str">
        <f>"6,00"</f>
        <v>6,00</v>
      </c>
      <c r="BI629" s="5" t="str">
        <f>"2030"</f>
        <v>2030</v>
      </c>
      <c r="BJ629" s="5" t="str">
        <f t="shared" si="839"/>
        <v>нет</v>
      </c>
      <c r="BK629" s="5" t="str">
        <f>""</f>
        <v/>
      </c>
      <c r="BL629" s="5" t="str">
        <f>""</f>
        <v/>
      </c>
      <c r="BM629" s="5" t="str">
        <f>""</f>
        <v/>
      </c>
      <c r="BN629" s="5" t="str">
        <f t="shared" si="840"/>
        <v>нет</v>
      </c>
      <c r="BO629" s="5" t="str">
        <f>""</f>
        <v/>
      </c>
      <c r="BP629" s="5" t="str">
        <f>""</f>
        <v/>
      </c>
      <c r="BQ629" s="5" t="str">
        <f>""</f>
        <v/>
      </c>
      <c r="BR629" s="5" t="str">
        <f>"2007"</f>
        <v>2007</v>
      </c>
      <c r="BS629" s="5" t="str">
        <f>"2,00"</f>
        <v>2,00</v>
      </c>
      <c r="BT629" s="5" t="str">
        <f>"2035"</f>
        <v>2035</v>
      </c>
      <c r="BU629" s="5" t="str">
        <f t="shared" si="834"/>
        <v>нет</v>
      </c>
      <c r="BV629" s="5" t="str">
        <f t="shared" si="835"/>
        <v>x</v>
      </c>
      <c r="BW629" s="5" t="str">
        <f t="shared" si="835"/>
        <v>x</v>
      </c>
      <c r="BX629" s="5" t="str">
        <f t="shared" si="835"/>
        <v>x</v>
      </c>
      <c r="BY629" s="5" t="str">
        <f t="shared" si="841"/>
        <v>да</v>
      </c>
      <c r="BZ629" s="5" t="str">
        <f>""</f>
        <v/>
      </c>
      <c r="CA629" s="5" t="str">
        <f>"2,00"</f>
        <v>2,00</v>
      </c>
      <c r="CB629" s="5" t="str">
        <f>"2035"</f>
        <v>2035</v>
      </c>
      <c r="CC629" s="5" t="str">
        <f>""</f>
        <v/>
      </c>
      <c r="CD629" s="5" t="str">
        <f>"2,00"</f>
        <v>2,00</v>
      </c>
      <c r="CE629" s="5" t="str">
        <f>"2035"</f>
        <v>2035</v>
      </c>
      <c r="CF629" s="5" t="str">
        <f>""</f>
        <v/>
      </c>
      <c r="CG629" s="5" t="str">
        <f>"2,00"</f>
        <v>2,00</v>
      </c>
      <c r="CH629" s="5" t="str">
        <f>"2035"</f>
        <v>2035</v>
      </c>
      <c r="CI629" s="5" t="str">
        <f>"6,00"</f>
        <v>6,00</v>
      </c>
      <c r="CJ629" s="5" t="str">
        <f>"2035"</f>
        <v>2035</v>
      </c>
    </row>
    <row r="630" spans="1:88" ht="11.25" customHeight="1">
      <c r="A630" s="3" t="str">
        <f>"1.617"</f>
        <v>1.617</v>
      </c>
      <c r="B630" s="4" t="str">
        <f>"пгт. Вохтога, ул. Юбилейная, д.18"</f>
        <v>пгт. Вохтога, ул. Юбилейная, д.18</v>
      </c>
      <c r="C630" s="7" t="str">
        <f>"1966"</f>
        <v>1966</v>
      </c>
      <c r="D630" s="5" t="str">
        <f>""</f>
        <v/>
      </c>
      <c r="E630" s="5" t="str">
        <f>"15,00"</f>
        <v>15,00</v>
      </c>
      <c r="F630" s="5" t="str">
        <f>"2024"</f>
        <v>2024</v>
      </c>
      <c r="G630" s="5" t="str">
        <f t="shared" si="826"/>
        <v>да</v>
      </c>
      <c r="H630" s="5" t="str">
        <f>"2010"</f>
        <v>2010</v>
      </c>
      <c r="I630" s="5" t="str">
        <f>"10,00"</f>
        <v>10,00</v>
      </c>
      <c r="J630" s="5" t="str">
        <f t="shared" si="844"/>
        <v>2020</v>
      </c>
      <c r="K630" s="5" t="str">
        <f>"нет"</f>
        <v>нет</v>
      </c>
      <c r="L630" s="5" t="str">
        <f>""</f>
        <v/>
      </c>
      <c r="M630" s="5" t="str">
        <f>""</f>
        <v/>
      </c>
      <c r="N630" s="5" t="str">
        <f>""</f>
        <v/>
      </c>
      <c r="O630" s="8" t="str">
        <f>""</f>
        <v/>
      </c>
      <c r="P630" s="5" t="str">
        <f>"15,00"</f>
        <v>15,00</v>
      </c>
      <c r="Q630" s="5" t="str">
        <f>"2024"</f>
        <v>2024</v>
      </c>
      <c r="R630" s="5" t="str">
        <f>"нет"</f>
        <v>нет</v>
      </c>
      <c r="S630" s="5" t="str">
        <f>""</f>
        <v/>
      </c>
      <c r="T630" s="5" t="str">
        <f>""</f>
        <v/>
      </c>
      <c r="U630" s="5" t="str">
        <f>""</f>
        <v/>
      </c>
      <c r="V630" s="5" t="str">
        <f t="shared" si="813"/>
        <v>нет</v>
      </c>
      <c r="W630" s="5" t="str">
        <f>""</f>
        <v/>
      </c>
      <c r="X630" s="5" t="str">
        <f>""</f>
        <v/>
      </c>
      <c r="Y630" s="9" t="str">
        <f>""</f>
        <v/>
      </c>
      <c r="Z630" s="5" t="str">
        <f>""</f>
        <v/>
      </c>
      <c r="AA630" s="5" t="str">
        <f>"2,00"</f>
        <v>2,00</v>
      </c>
      <c r="AB630" s="5" t="str">
        <f>"2044"</f>
        <v>2044</v>
      </c>
      <c r="AC630" s="5" t="str">
        <f t="shared" si="842"/>
        <v>нет</v>
      </c>
      <c r="AD630" s="5" t="str">
        <f>""</f>
        <v/>
      </c>
      <c r="AE630" s="5" t="str">
        <f>""</f>
        <v/>
      </c>
      <c r="AF630" s="5" t="str">
        <f>""</f>
        <v/>
      </c>
      <c r="AG630" s="5" t="str">
        <f t="shared" si="843"/>
        <v>нет</v>
      </c>
      <c r="AH630" s="5" t="str">
        <f>""</f>
        <v/>
      </c>
      <c r="AI630" s="5" t="str">
        <f>""</f>
        <v/>
      </c>
      <c r="AJ630" s="5" t="str">
        <f>""</f>
        <v/>
      </c>
      <c r="AK630" s="8" t="str">
        <f>""</f>
        <v/>
      </c>
      <c r="AL630" s="5" t="str">
        <f>"15,00"</f>
        <v>15,00</v>
      </c>
      <c r="AM630" s="5" t="str">
        <f>"2024"</f>
        <v>2024</v>
      </c>
      <c r="AN630" s="5" t="str">
        <f>"нет"</f>
        <v>нет</v>
      </c>
      <c r="AO630" s="5" t="str">
        <f>""</f>
        <v/>
      </c>
      <c r="AP630" s="5" t="str">
        <f>""</f>
        <v/>
      </c>
      <c r="AQ630" s="5" t="str">
        <f>""</f>
        <v/>
      </c>
      <c r="AR630" s="5" t="str">
        <f t="shared" si="817"/>
        <v>нет</v>
      </c>
      <c r="AS630" s="5" t="str">
        <f>""</f>
        <v/>
      </c>
      <c r="AT630" s="5" t="str">
        <f>""</f>
        <v/>
      </c>
      <c r="AU630" s="5" t="str">
        <f>""</f>
        <v/>
      </c>
      <c r="AV630" s="5" t="str">
        <f t="shared" ref="AV630:BF630" si="845">"х"</f>
        <v>х</v>
      </c>
      <c r="AW630" s="5" t="str">
        <f t="shared" si="845"/>
        <v>х</v>
      </c>
      <c r="AX630" s="5" t="str">
        <f t="shared" si="845"/>
        <v>х</v>
      </c>
      <c r="AY630" s="5" t="str">
        <f t="shared" si="845"/>
        <v>х</v>
      </c>
      <c r="AZ630" s="5" t="str">
        <f t="shared" si="845"/>
        <v>х</v>
      </c>
      <c r="BA630" s="5" t="str">
        <f t="shared" si="845"/>
        <v>х</v>
      </c>
      <c r="BB630" s="5" t="str">
        <f t="shared" si="845"/>
        <v>х</v>
      </c>
      <c r="BC630" s="5" t="str">
        <f t="shared" si="845"/>
        <v>х</v>
      </c>
      <c r="BD630" s="5" t="str">
        <f t="shared" si="845"/>
        <v>х</v>
      </c>
      <c r="BE630" s="5" t="str">
        <f t="shared" si="845"/>
        <v>х</v>
      </c>
      <c r="BF630" s="5" t="str">
        <f t="shared" si="845"/>
        <v>х</v>
      </c>
      <c r="BG630" s="5" t="str">
        <f>""</f>
        <v/>
      </c>
      <c r="BH630" s="5" t="str">
        <f>"10,00"</f>
        <v>10,00</v>
      </c>
      <c r="BI630" s="5" t="str">
        <f>"2030"</f>
        <v>2030</v>
      </c>
      <c r="BJ630" s="5" t="str">
        <f t="shared" si="839"/>
        <v>нет</v>
      </c>
      <c r="BK630" s="5" t="str">
        <f>""</f>
        <v/>
      </c>
      <c r="BL630" s="5" t="str">
        <f>""</f>
        <v/>
      </c>
      <c r="BM630" s="5" t="str">
        <f>""</f>
        <v/>
      </c>
      <c r="BN630" s="5" t="str">
        <f t="shared" si="840"/>
        <v>нет</v>
      </c>
      <c r="BO630" s="5" t="str">
        <f>""</f>
        <v/>
      </c>
      <c r="BP630" s="5" t="str">
        <f>""</f>
        <v/>
      </c>
      <c r="BQ630" s="5" t="str">
        <f>""</f>
        <v/>
      </c>
      <c r="BR630" s="5" t="str">
        <f>"2009"</f>
        <v>2009</v>
      </c>
      <c r="BS630" s="5" t="str">
        <f>"2,00"</f>
        <v>2,00</v>
      </c>
      <c r="BT630" s="5" t="str">
        <f>"2034"</f>
        <v>2034</v>
      </c>
      <c r="BU630" s="5" t="str">
        <f t="shared" si="834"/>
        <v>нет</v>
      </c>
      <c r="BV630" s="5" t="str">
        <f t="shared" si="835"/>
        <v>x</v>
      </c>
      <c r="BW630" s="5" t="str">
        <f t="shared" si="835"/>
        <v>x</v>
      </c>
      <c r="BX630" s="5" t="str">
        <f t="shared" si="835"/>
        <v>x</v>
      </c>
      <c r="BY630" s="5" t="str">
        <f>"нет"</f>
        <v>нет</v>
      </c>
      <c r="BZ630" s="5" t="str">
        <f>"x"</f>
        <v>x</v>
      </c>
      <c r="CA630" s="5" t="str">
        <f>"x"</f>
        <v>x</v>
      </c>
      <c r="CB630" s="5" t="str">
        <f>"x"</f>
        <v>x</v>
      </c>
      <c r="CC630" s="5" t="str">
        <f>""</f>
        <v/>
      </c>
      <c r="CD630" s="5" t="str">
        <f>"25,00"</f>
        <v>25,00</v>
      </c>
      <c r="CE630" s="5" t="str">
        <f>"2035"</f>
        <v>2035</v>
      </c>
      <c r="CF630" s="5" t="str">
        <f>""</f>
        <v/>
      </c>
      <c r="CG630" s="5" t="str">
        <f>"15,00"</f>
        <v>15,00</v>
      </c>
      <c r="CH630" s="5" t="str">
        <f>"2035"</f>
        <v>2035</v>
      </c>
      <c r="CI630" s="5" t="str">
        <f>"15,00"</f>
        <v>15,00</v>
      </c>
      <c r="CJ630" s="5" t="str">
        <f>"2024"</f>
        <v>2024</v>
      </c>
    </row>
    <row r="631" spans="1:88" ht="11.25" customHeight="1">
      <c r="A631" s="3" t="str">
        <f>"1.618"</f>
        <v>1.618</v>
      </c>
      <c r="B631" s="4" t="str">
        <f>"пгт. Вохтога, ул. Юбилейная, д.19"</f>
        <v>пгт. Вохтога, ул. Юбилейная, д.19</v>
      </c>
      <c r="C631" s="7" t="str">
        <f>"1976"</f>
        <v>1976</v>
      </c>
      <c r="D631" s="5" t="str">
        <f>""</f>
        <v/>
      </c>
      <c r="E631" s="5" t="str">
        <f>"35,00"</f>
        <v>35,00</v>
      </c>
      <c r="F631" s="5" t="str">
        <f>"2020"</f>
        <v>2020</v>
      </c>
      <c r="G631" s="5" t="str">
        <f t="shared" si="826"/>
        <v>да</v>
      </c>
      <c r="H631" s="5" t="str">
        <f>"2010"</f>
        <v>2010</v>
      </c>
      <c r="I631" s="5" t="str">
        <f>"6,00"</f>
        <v>6,00</v>
      </c>
      <c r="J631" s="5" t="str">
        <f t="shared" si="844"/>
        <v>2020</v>
      </c>
      <c r="K631" s="5" t="str">
        <f t="shared" ref="K631:K636" si="846">"да"</f>
        <v>да</v>
      </c>
      <c r="L631" s="5" t="str">
        <f>""</f>
        <v/>
      </c>
      <c r="M631" s="5" t="str">
        <f>"48,00"</f>
        <v>48,00</v>
      </c>
      <c r="N631" s="5" t="str">
        <f>"2020"</f>
        <v>2020</v>
      </c>
      <c r="O631" s="8" t="str">
        <f>"2008"</f>
        <v>2008</v>
      </c>
      <c r="P631" s="5" t="str">
        <f>"5,00"</f>
        <v>5,00</v>
      </c>
      <c r="Q631" s="5" t="str">
        <f>"2024"</f>
        <v>2024</v>
      </c>
      <c r="R631" s="5" t="str">
        <f>"нет"</f>
        <v>нет</v>
      </c>
      <c r="S631" s="5" t="str">
        <f>""</f>
        <v/>
      </c>
      <c r="T631" s="5" t="str">
        <f>""</f>
        <v/>
      </c>
      <c r="U631" s="5" t="str">
        <f>""</f>
        <v/>
      </c>
      <c r="V631" s="5" t="str">
        <f t="shared" si="813"/>
        <v>нет</v>
      </c>
      <c r="W631" s="5" t="str">
        <f>""</f>
        <v/>
      </c>
      <c r="X631" s="5" t="str">
        <f>""</f>
        <v/>
      </c>
      <c r="Y631" s="9" t="str">
        <f>""</f>
        <v/>
      </c>
      <c r="Z631" s="5" t="str">
        <f>""</f>
        <v/>
      </c>
      <c r="AA631" s="5" t="str">
        <f>"2,00"</f>
        <v>2,00</v>
      </c>
      <c r="AB631" s="5" t="str">
        <f>"2044"</f>
        <v>2044</v>
      </c>
      <c r="AC631" s="5" t="str">
        <f t="shared" si="842"/>
        <v>нет</v>
      </c>
      <c r="AD631" s="5" t="str">
        <f>""</f>
        <v/>
      </c>
      <c r="AE631" s="5" t="str">
        <f>""</f>
        <v/>
      </c>
      <c r="AF631" s="5" t="str">
        <f>""</f>
        <v/>
      </c>
      <c r="AG631" s="5" t="str">
        <f t="shared" si="843"/>
        <v>нет</v>
      </c>
      <c r="AH631" s="5" t="str">
        <f>""</f>
        <v/>
      </c>
      <c r="AI631" s="5" t="str">
        <f>""</f>
        <v/>
      </c>
      <c r="AJ631" s="5" t="str">
        <f>""</f>
        <v/>
      </c>
      <c r="AK631" s="8" t="str">
        <f>"2008"</f>
        <v>2008</v>
      </c>
      <c r="AL631" s="5" t="str">
        <f>"5,00"</f>
        <v>5,00</v>
      </c>
      <c r="AM631" s="5" t="str">
        <f>"2026"</f>
        <v>2026</v>
      </c>
      <c r="AN631" s="5" t="str">
        <f>"нет"</f>
        <v>нет</v>
      </c>
      <c r="AO631" s="5" t="str">
        <f>""</f>
        <v/>
      </c>
      <c r="AP631" s="5" t="str">
        <f>""</f>
        <v/>
      </c>
      <c r="AQ631" s="5" t="str">
        <f>""</f>
        <v/>
      </c>
      <c r="AR631" s="5" t="str">
        <f t="shared" si="817"/>
        <v>нет</v>
      </c>
      <c r="AS631" s="5" t="str">
        <f>""</f>
        <v/>
      </c>
      <c r="AT631" s="5" t="str">
        <f>""</f>
        <v/>
      </c>
      <c r="AU631" s="5" t="str">
        <f>""</f>
        <v/>
      </c>
      <c r="AV631" s="5" t="str">
        <f>"2008"</f>
        <v>2008</v>
      </c>
      <c r="AW631" s="5" t="str">
        <f>"48,00"</f>
        <v>48,00</v>
      </c>
      <c r="AX631" s="5" t="str">
        <f>"2026"</f>
        <v>2026</v>
      </c>
      <c r="AY631" s="5" t="str">
        <f>"нет"</f>
        <v>нет</v>
      </c>
      <c r="AZ631" s="5" t="str">
        <f>""</f>
        <v/>
      </c>
      <c r="BA631" s="5" t="str">
        <f>""</f>
        <v/>
      </c>
      <c r="BB631" s="5" t="str">
        <f>""</f>
        <v/>
      </c>
      <c r="BC631" s="5" t="str">
        <f>"да"</f>
        <v>да</v>
      </c>
      <c r="BD631" s="5" t="str">
        <f>""</f>
        <v/>
      </c>
      <c r="BE631" s="5" t="str">
        <f>"48,00"</f>
        <v>48,00</v>
      </c>
      <c r="BF631" s="5" t="str">
        <f>"2026"</f>
        <v>2026</v>
      </c>
      <c r="BG631" s="5" t="str">
        <f>""</f>
        <v/>
      </c>
      <c r="BH631" s="5" t="str">
        <f>"15,00"</f>
        <v>15,00</v>
      </c>
      <c r="BI631" s="5" t="str">
        <f>"2034"</f>
        <v>2034</v>
      </c>
      <c r="BJ631" s="5" t="str">
        <f t="shared" si="839"/>
        <v>нет</v>
      </c>
      <c r="BK631" s="5" t="str">
        <f>""</f>
        <v/>
      </c>
      <c r="BL631" s="5" t="str">
        <f>""</f>
        <v/>
      </c>
      <c r="BM631" s="5" t="str">
        <f>""</f>
        <v/>
      </c>
      <c r="BN631" s="5" t="str">
        <f t="shared" si="840"/>
        <v>нет</v>
      </c>
      <c r="BO631" s="5" t="str">
        <f>""</f>
        <v/>
      </c>
      <c r="BP631" s="5" t="str">
        <f>""</f>
        <v/>
      </c>
      <c r="BQ631" s="5" t="str">
        <f>""</f>
        <v/>
      </c>
      <c r="BR631" s="5" t="str">
        <f>""</f>
        <v/>
      </c>
      <c r="BS631" s="5" t="str">
        <f>"53,00"</f>
        <v>53,00</v>
      </c>
      <c r="BT631" s="5" t="str">
        <f>"2017"</f>
        <v>2017</v>
      </c>
      <c r="BU631" s="5" t="str">
        <f t="shared" si="834"/>
        <v>нет</v>
      </c>
      <c r="BV631" s="5" t="str">
        <f t="shared" si="835"/>
        <v>x</v>
      </c>
      <c r="BW631" s="5" t="str">
        <f t="shared" si="835"/>
        <v>x</v>
      </c>
      <c r="BX631" s="5" t="str">
        <f t="shared" si="835"/>
        <v>x</v>
      </c>
      <c r="BY631" s="5" t="str">
        <f>"да"</f>
        <v>да</v>
      </c>
      <c r="BZ631" s="5" t="str">
        <f>""</f>
        <v/>
      </c>
      <c r="CA631" s="5" t="str">
        <f>"10,00"</f>
        <v>10,00</v>
      </c>
      <c r="CB631" s="5" t="str">
        <f>"2039"</f>
        <v>2039</v>
      </c>
      <c r="CC631" s="5" t="str">
        <f>""</f>
        <v/>
      </c>
      <c r="CD631" s="5" t="str">
        <f>"10,00"</f>
        <v>10,00</v>
      </c>
      <c r="CE631" s="5" t="str">
        <f>"2039"</f>
        <v>2039</v>
      </c>
      <c r="CF631" s="5" t="str">
        <f>""</f>
        <v/>
      </c>
      <c r="CG631" s="5" t="str">
        <f>"10,00"</f>
        <v>10,00</v>
      </c>
      <c r="CH631" s="5" t="str">
        <f>"2039"</f>
        <v>2039</v>
      </c>
      <c r="CI631" s="5" t="str">
        <f>"6,00"</f>
        <v>6,00</v>
      </c>
      <c r="CJ631" s="5" t="str">
        <f>"2039"</f>
        <v>2039</v>
      </c>
    </row>
    <row r="632" spans="1:88" ht="11.25" customHeight="1">
      <c r="A632" s="3" t="str">
        <f>"1.619"</f>
        <v>1.619</v>
      </c>
      <c r="B632" s="4" t="str">
        <f>"пгт. Вохтога, ул. Юбилейная, д.19б"</f>
        <v>пгт. Вохтога, ул. Юбилейная, д.19б</v>
      </c>
      <c r="C632" s="7" t="str">
        <f>"2013"</f>
        <v>2013</v>
      </c>
      <c r="D632" s="5" t="str">
        <f>""</f>
        <v/>
      </c>
      <c r="E632" s="5" t="str">
        <f>"0,00"</f>
        <v>0,00</v>
      </c>
      <c r="F632" s="5" t="str">
        <f>"2041"</f>
        <v>2041</v>
      </c>
      <c r="G632" s="5" t="str">
        <f t="shared" si="826"/>
        <v>да</v>
      </c>
      <c r="H632" s="5" t="str">
        <f>"2013"</f>
        <v>2013</v>
      </c>
      <c r="I632" s="5" t="str">
        <f>"0,00"</f>
        <v>0,00</v>
      </c>
      <c r="J632" s="5" t="str">
        <f>"2019"</f>
        <v>2019</v>
      </c>
      <c r="K632" s="5" t="str">
        <f t="shared" si="846"/>
        <v>да</v>
      </c>
      <c r="L632" s="5" t="str">
        <f>""</f>
        <v/>
      </c>
      <c r="M632" s="5" t="str">
        <f>"0,00"</f>
        <v>0,00</v>
      </c>
      <c r="N632" s="5" t="str">
        <f>"2041"</f>
        <v>2041</v>
      </c>
      <c r="O632" s="8" t="str">
        <f>""</f>
        <v/>
      </c>
      <c r="P632" s="5" t="str">
        <f>"0,00"</f>
        <v>0,00</v>
      </c>
      <c r="Q632" s="5" t="str">
        <f>"2043"</f>
        <v>2043</v>
      </c>
      <c r="R632" s="5" t="str">
        <f>"да"</f>
        <v>да</v>
      </c>
      <c r="S632" s="5" t="str">
        <f>""</f>
        <v/>
      </c>
      <c r="T632" s="5" t="str">
        <f>"0,00"</f>
        <v>0,00</v>
      </c>
      <c r="U632" s="5" t="str">
        <f>"2019"</f>
        <v>2019</v>
      </c>
      <c r="V632" s="5" t="str">
        <f>"да"</f>
        <v>да</v>
      </c>
      <c r="W632" s="5" t="str">
        <f>""</f>
        <v/>
      </c>
      <c r="X632" s="5" t="str">
        <f>"0,00"</f>
        <v>0,00</v>
      </c>
      <c r="Y632" s="9" t="str">
        <f>"2041"</f>
        <v>2041</v>
      </c>
      <c r="Z632" s="5" t="str">
        <f>""</f>
        <v/>
      </c>
      <c r="AA632" s="5" t="str">
        <f>"0,00"</f>
        <v>0,00</v>
      </c>
      <c r="AB632" s="5" t="str">
        <f>"2046"</f>
        <v>2046</v>
      </c>
      <c r="AC632" s="5" t="str">
        <f t="shared" si="842"/>
        <v>нет</v>
      </c>
      <c r="AD632" s="5" t="str">
        <f>""</f>
        <v/>
      </c>
      <c r="AE632" s="5" t="str">
        <f>""</f>
        <v/>
      </c>
      <c r="AF632" s="5" t="str">
        <f>""</f>
        <v/>
      </c>
      <c r="AG632" s="5" t="str">
        <f t="shared" si="843"/>
        <v>нет</v>
      </c>
      <c r="AH632" s="5" t="str">
        <f>""</f>
        <v/>
      </c>
      <c r="AI632" s="5" t="str">
        <f>""</f>
        <v/>
      </c>
      <c r="AJ632" s="5" t="str">
        <f>""</f>
        <v/>
      </c>
      <c r="AK632" s="8" t="str">
        <f>""</f>
        <v/>
      </c>
      <c r="AL632" s="5" t="str">
        <f>"0,00"</f>
        <v>0,00</v>
      </c>
      <c r="AM632" s="5" t="str">
        <f>"2043"</f>
        <v>2043</v>
      </c>
      <c r="AN632" s="5" t="str">
        <f>"да"</f>
        <v>да</v>
      </c>
      <c r="AO632" s="5" t="str">
        <f>""</f>
        <v/>
      </c>
      <c r="AP632" s="5" t="str">
        <f>"0,00"</f>
        <v>0,00</v>
      </c>
      <c r="AQ632" s="5" t="str">
        <f>"2019"</f>
        <v>2019</v>
      </c>
      <c r="AR632" s="5" t="str">
        <f>"да"</f>
        <v>да</v>
      </c>
      <c r="AS632" s="5" t="str">
        <f>""</f>
        <v/>
      </c>
      <c r="AT632" s="5" t="str">
        <f>"0,00"</f>
        <v>0,00</v>
      </c>
      <c r="AU632" s="5" t="str">
        <f>"2043"</f>
        <v>2043</v>
      </c>
      <c r="AV632" s="5" t="str">
        <f>""</f>
        <v/>
      </c>
      <c r="AW632" s="5" t="str">
        <f>"1,00"</f>
        <v>1,00</v>
      </c>
      <c r="AX632" s="5" t="str">
        <f>"2043"</f>
        <v>2043</v>
      </c>
      <c r="AY632" s="5" t="str">
        <f>"да"</f>
        <v>да</v>
      </c>
      <c r="AZ632" s="5" t="str">
        <f>""</f>
        <v/>
      </c>
      <c r="BA632" s="5" t="str">
        <f>"0,00"</f>
        <v>0,00</v>
      </c>
      <c r="BB632" s="5" t="str">
        <f>"2019"</f>
        <v>2019</v>
      </c>
      <c r="BC632" s="5" t="str">
        <f>"нет"</f>
        <v>нет</v>
      </c>
      <c r="BD632" s="5" t="str">
        <f>""</f>
        <v/>
      </c>
      <c r="BE632" s="5" t="str">
        <f>""</f>
        <v/>
      </c>
      <c r="BF632" s="5" t="str">
        <f>""</f>
        <v/>
      </c>
      <c r="BG632" s="5" t="str">
        <f>""</f>
        <v/>
      </c>
      <c r="BH632" s="5" t="str">
        <f>"0,00"</f>
        <v>0,00</v>
      </c>
      <c r="BI632" s="5" t="str">
        <f>"2045"</f>
        <v>2045</v>
      </c>
      <c r="BJ632" s="5" t="str">
        <f t="shared" si="839"/>
        <v>нет</v>
      </c>
      <c r="BK632" s="5" t="str">
        <f>""</f>
        <v/>
      </c>
      <c r="BL632" s="5" t="str">
        <f>""</f>
        <v/>
      </c>
      <c r="BM632" s="5" t="str">
        <f>""</f>
        <v/>
      </c>
      <c r="BN632" s="5" t="str">
        <f t="shared" si="840"/>
        <v>нет</v>
      </c>
      <c r="BO632" s="5" t="str">
        <f>""</f>
        <v/>
      </c>
      <c r="BP632" s="5" t="str">
        <f>""</f>
        <v/>
      </c>
      <c r="BQ632" s="5" t="str">
        <f>""</f>
        <v/>
      </c>
      <c r="BR632" s="5" t="str">
        <f>""</f>
        <v/>
      </c>
      <c r="BS632" s="5" t="str">
        <f>"0,00"</f>
        <v>0,00</v>
      </c>
      <c r="BT632" s="5" t="str">
        <f>"2040"</f>
        <v>2040</v>
      </c>
      <c r="BU632" s="5" t="str">
        <f t="shared" si="834"/>
        <v>нет</v>
      </c>
      <c r="BV632" s="5" t="str">
        <f t="shared" si="835"/>
        <v>x</v>
      </c>
      <c r="BW632" s="5" t="str">
        <f t="shared" si="835"/>
        <v>x</v>
      </c>
      <c r="BX632" s="5" t="str">
        <f t="shared" si="835"/>
        <v>x</v>
      </c>
      <c r="BY632" s="5" t="str">
        <f>"нет"</f>
        <v>нет</v>
      </c>
      <c r="BZ632" s="5" t="str">
        <f>"x"</f>
        <v>x</v>
      </c>
      <c r="CA632" s="5" t="str">
        <f>"x"</f>
        <v>x</v>
      </c>
      <c r="CB632" s="5" t="str">
        <f>"x"</f>
        <v>x</v>
      </c>
      <c r="CC632" s="5" t="str">
        <f>""</f>
        <v/>
      </c>
      <c r="CD632" s="5" t="str">
        <f>"0,00"</f>
        <v>0,00</v>
      </c>
      <c r="CE632" s="5" t="str">
        <f>"2042"</f>
        <v>2042</v>
      </c>
      <c r="CF632" s="5" t="str">
        <f>""</f>
        <v/>
      </c>
      <c r="CG632" s="5" t="str">
        <f>"0,00"</f>
        <v>0,00</v>
      </c>
      <c r="CH632" s="5" t="str">
        <f>"2035"</f>
        <v>2035</v>
      </c>
      <c r="CI632" s="5" t="str">
        <f>"0,00"</f>
        <v>0,00</v>
      </c>
      <c r="CJ632" s="5" t="str">
        <f>"2035"</f>
        <v>2035</v>
      </c>
    </row>
    <row r="633" spans="1:88" ht="11.25" customHeight="1">
      <c r="A633" s="3" t="str">
        <f>"1.620"</f>
        <v>1.620</v>
      </c>
      <c r="B633" s="4" t="str">
        <f>"пгт. Вохтога, ул. Юбилейная, д.20А"</f>
        <v>пгт. Вохтога, ул. Юбилейная, д.20А</v>
      </c>
      <c r="C633" s="7" t="str">
        <f>"1978"</f>
        <v>1978</v>
      </c>
      <c r="D633" s="5" t="str">
        <f>""</f>
        <v/>
      </c>
      <c r="E633" s="5" t="str">
        <f>"10,00"</f>
        <v>10,00</v>
      </c>
      <c r="F633" s="5" t="str">
        <f>"2020"</f>
        <v>2020</v>
      </c>
      <c r="G633" s="5" t="str">
        <f t="shared" si="826"/>
        <v>да</v>
      </c>
      <c r="H633" s="5" t="str">
        <f>"2010"</f>
        <v>2010</v>
      </c>
      <c r="I633" s="5" t="str">
        <f>"10,00"</f>
        <v>10,00</v>
      </c>
      <c r="J633" s="5" t="str">
        <f>"2020"</f>
        <v>2020</v>
      </c>
      <c r="K633" s="5" t="str">
        <f t="shared" si="846"/>
        <v>да</v>
      </c>
      <c r="L633" s="5" t="str">
        <f>""</f>
        <v/>
      </c>
      <c r="M633" s="5" t="str">
        <f>"10,00"</f>
        <v>10,00</v>
      </c>
      <c r="N633" s="5" t="str">
        <f>"2020"</f>
        <v>2020</v>
      </c>
      <c r="O633" s="8" t="str">
        <f>""</f>
        <v/>
      </c>
      <c r="P633" s="5" t="str">
        <f>"25,00"</f>
        <v>25,00</v>
      </c>
      <c r="Q633" s="5" t="str">
        <f>"2032"</f>
        <v>2032</v>
      </c>
      <c r="R633" s="5" t="str">
        <f>"нет"</f>
        <v>нет</v>
      </c>
      <c r="S633" s="5" t="str">
        <f>""</f>
        <v/>
      </c>
      <c r="T633" s="5" t="str">
        <f>""</f>
        <v/>
      </c>
      <c r="U633" s="5" t="str">
        <f>""</f>
        <v/>
      </c>
      <c r="V633" s="5" t="str">
        <f>"нет"</f>
        <v>нет</v>
      </c>
      <c r="W633" s="5" t="str">
        <f>""</f>
        <v/>
      </c>
      <c r="X633" s="5" t="str">
        <f>""</f>
        <v/>
      </c>
      <c r="Y633" s="9" t="str">
        <f>""</f>
        <v/>
      </c>
      <c r="Z633" s="5" t="str">
        <f>""</f>
        <v/>
      </c>
      <c r="AA633" s="5" t="str">
        <f>"2,00"</f>
        <v>2,00</v>
      </c>
      <c r="AB633" s="5" t="str">
        <f>"2045"</f>
        <v>2045</v>
      </c>
      <c r="AC633" s="5" t="str">
        <f t="shared" si="842"/>
        <v>нет</v>
      </c>
      <c r="AD633" s="5" t="str">
        <f>""</f>
        <v/>
      </c>
      <c r="AE633" s="5" t="str">
        <f>""</f>
        <v/>
      </c>
      <c r="AF633" s="5" t="str">
        <f>""</f>
        <v/>
      </c>
      <c r="AG633" s="5" t="str">
        <f t="shared" si="843"/>
        <v>нет</v>
      </c>
      <c r="AH633" s="5" t="str">
        <f>""</f>
        <v/>
      </c>
      <c r="AI633" s="5" t="str">
        <f>""</f>
        <v/>
      </c>
      <c r="AJ633" s="5" t="str">
        <f>""</f>
        <v/>
      </c>
      <c r="AK633" s="8" t="str">
        <f>""</f>
        <v/>
      </c>
      <c r="AL633" s="5" t="str">
        <f>"2,00"</f>
        <v>2,00</v>
      </c>
      <c r="AM633" s="5" t="str">
        <f>"2021"</f>
        <v>2021</v>
      </c>
      <c r="AN633" s="5" t="str">
        <f>"да"</f>
        <v>да</v>
      </c>
      <c r="AO633" s="5" t="str">
        <f>"2013"</f>
        <v>2013</v>
      </c>
      <c r="AP633" s="5" t="str">
        <f>"2,00"</f>
        <v>2,00</v>
      </c>
      <c r="AQ633" s="5" t="str">
        <f>"2019"</f>
        <v>2019</v>
      </c>
      <c r="AR633" s="5" t="str">
        <f t="shared" ref="AR633:AR638" si="847">"нет"</f>
        <v>нет</v>
      </c>
      <c r="AS633" s="5" t="str">
        <f>""</f>
        <v/>
      </c>
      <c r="AT633" s="5" t="str">
        <f>""</f>
        <v/>
      </c>
      <c r="AU633" s="5" t="str">
        <f>""</f>
        <v/>
      </c>
      <c r="AV633" s="5" t="str">
        <f>""</f>
        <v/>
      </c>
      <c r="AW633" s="5" t="str">
        <f>"25,00"</f>
        <v>25,00</v>
      </c>
      <c r="AX633" s="5" t="str">
        <f>"2019"</f>
        <v>2019</v>
      </c>
      <c r="AY633" s="5" t="str">
        <f>"нет"</f>
        <v>нет</v>
      </c>
      <c r="AZ633" s="5" t="str">
        <f>""</f>
        <v/>
      </c>
      <c r="BA633" s="5" t="str">
        <f>""</f>
        <v/>
      </c>
      <c r="BB633" s="5" t="str">
        <f>""</f>
        <v/>
      </c>
      <c r="BC633" s="5" t="str">
        <f>"да"</f>
        <v>да</v>
      </c>
      <c r="BD633" s="5" t="str">
        <f>""</f>
        <v/>
      </c>
      <c r="BE633" s="5" t="str">
        <f>"49,00"</f>
        <v>49,00</v>
      </c>
      <c r="BF633" s="5" t="str">
        <f>"2019"</f>
        <v>2019</v>
      </c>
      <c r="BG633" s="5" t="str">
        <f>""</f>
        <v/>
      </c>
      <c r="BH633" s="5" t="str">
        <f>"10,00"</f>
        <v>10,00</v>
      </c>
      <c r="BI633" s="5" t="str">
        <f>"2038"</f>
        <v>2038</v>
      </c>
      <c r="BJ633" s="5" t="str">
        <f t="shared" si="839"/>
        <v>нет</v>
      </c>
      <c r="BK633" s="5" t="str">
        <f>""</f>
        <v/>
      </c>
      <c r="BL633" s="5" t="str">
        <f>""</f>
        <v/>
      </c>
      <c r="BM633" s="5" t="str">
        <f>""</f>
        <v/>
      </c>
      <c r="BN633" s="5" t="str">
        <f t="shared" si="840"/>
        <v>нет</v>
      </c>
      <c r="BO633" s="5" t="str">
        <f>""</f>
        <v/>
      </c>
      <c r="BP633" s="5" t="str">
        <f>""</f>
        <v/>
      </c>
      <c r="BQ633" s="5" t="str">
        <f>""</f>
        <v/>
      </c>
      <c r="BR633" s="5" t="str">
        <f>"2010"</f>
        <v>2010</v>
      </c>
      <c r="BS633" s="5" t="str">
        <f>"3,00"</f>
        <v>3,00</v>
      </c>
      <c r="BT633" s="5" t="str">
        <f>"2036"</f>
        <v>2036</v>
      </c>
      <c r="BU633" s="5" t="str">
        <f t="shared" si="834"/>
        <v>нет</v>
      </c>
      <c r="BV633" s="5" t="str">
        <f t="shared" si="835"/>
        <v>x</v>
      </c>
      <c r="BW633" s="5" t="str">
        <f t="shared" si="835"/>
        <v>x</v>
      </c>
      <c r="BX633" s="5" t="str">
        <f t="shared" si="835"/>
        <v>x</v>
      </c>
      <c r="BY633" s="5" t="str">
        <f>"да"</f>
        <v>да</v>
      </c>
      <c r="BZ633" s="5" t="str">
        <f>""</f>
        <v/>
      </c>
      <c r="CA633" s="5" t="str">
        <f>"2,00"</f>
        <v>2,00</v>
      </c>
      <c r="CB633" s="5" t="str">
        <f>"2032"</f>
        <v>2032</v>
      </c>
      <c r="CC633" s="5" t="str">
        <f>""</f>
        <v/>
      </c>
      <c r="CD633" s="5" t="str">
        <f>"2,00"</f>
        <v>2,00</v>
      </c>
      <c r="CE633" s="5" t="str">
        <f>"2040"</f>
        <v>2040</v>
      </c>
      <c r="CF633" s="5" t="str">
        <f>""</f>
        <v/>
      </c>
      <c r="CG633" s="5" t="str">
        <f>"2,00"</f>
        <v>2,00</v>
      </c>
      <c r="CH633" s="5" t="str">
        <f>"2040"</f>
        <v>2040</v>
      </c>
      <c r="CI633" s="5" t="str">
        <f>"11,00"</f>
        <v>11,00</v>
      </c>
      <c r="CJ633" s="5" t="str">
        <f>"2040"</f>
        <v>2040</v>
      </c>
    </row>
    <row r="634" spans="1:88" ht="11.25" customHeight="1">
      <c r="A634" s="3" t="str">
        <f>"1.621"</f>
        <v>1.621</v>
      </c>
      <c r="B634" s="4" t="str">
        <f>"пгт. Вохтога, ул. Юбилейная, д.21"</f>
        <v>пгт. Вохтога, ул. Юбилейная, д.21</v>
      </c>
      <c r="C634" s="7" t="str">
        <f>"1983"</f>
        <v>1983</v>
      </c>
      <c r="D634" s="5" t="str">
        <f>""</f>
        <v/>
      </c>
      <c r="E634" s="5" t="str">
        <f>"4,00"</f>
        <v>4,00</v>
      </c>
      <c r="F634" s="5" t="str">
        <f>"2020"</f>
        <v>2020</v>
      </c>
      <c r="G634" s="5" t="str">
        <f t="shared" si="826"/>
        <v>да</v>
      </c>
      <c r="H634" s="5" t="str">
        <f>"2010"</f>
        <v>2010</v>
      </c>
      <c r="I634" s="5" t="str">
        <f>"4,00"</f>
        <v>4,00</v>
      </c>
      <c r="J634" s="5" t="str">
        <f>"2020"</f>
        <v>2020</v>
      </c>
      <c r="K634" s="5" t="str">
        <f t="shared" si="846"/>
        <v>да</v>
      </c>
      <c r="L634" s="5" t="str">
        <f>""</f>
        <v/>
      </c>
      <c r="M634" s="5" t="str">
        <f>"35,00"</f>
        <v>35,00</v>
      </c>
      <c r="N634" s="5" t="str">
        <f>"2020"</f>
        <v>2020</v>
      </c>
      <c r="O634" s="8" t="str">
        <f>""</f>
        <v/>
      </c>
      <c r="P634" s="5" t="str">
        <f>"12,00"</f>
        <v>12,00</v>
      </c>
      <c r="Q634" s="5" t="str">
        <f>"2025"</f>
        <v>2025</v>
      </c>
      <c r="R634" s="5" t="str">
        <f>"нет"</f>
        <v>нет</v>
      </c>
      <c r="S634" s="5" t="str">
        <f>""</f>
        <v/>
      </c>
      <c r="T634" s="5" t="str">
        <f>""</f>
        <v/>
      </c>
      <c r="U634" s="5" t="str">
        <f>""</f>
        <v/>
      </c>
      <c r="V634" s="5" t="str">
        <f>"нет"</f>
        <v>нет</v>
      </c>
      <c r="W634" s="5" t="str">
        <f>""</f>
        <v/>
      </c>
      <c r="X634" s="5" t="str">
        <f>""</f>
        <v/>
      </c>
      <c r="Y634" s="9" t="str">
        <f>""</f>
        <v/>
      </c>
      <c r="Z634" s="5" t="str">
        <f>""</f>
        <v/>
      </c>
      <c r="AA634" s="5" t="str">
        <f>"6,00"</f>
        <v>6,00</v>
      </c>
      <c r="AB634" s="5" t="str">
        <f>"2046"</f>
        <v>2046</v>
      </c>
      <c r="AC634" s="5" t="str">
        <f t="shared" si="842"/>
        <v>нет</v>
      </c>
      <c r="AD634" s="5" t="str">
        <f>""</f>
        <v/>
      </c>
      <c r="AE634" s="5" t="str">
        <f>""</f>
        <v/>
      </c>
      <c r="AF634" s="5" t="str">
        <f>""</f>
        <v/>
      </c>
      <c r="AG634" s="5" t="str">
        <f t="shared" si="843"/>
        <v>нет</v>
      </c>
      <c r="AH634" s="5" t="str">
        <f>""</f>
        <v/>
      </c>
      <c r="AI634" s="5" t="str">
        <f>""</f>
        <v/>
      </c>
      <c r="AJ634" s="5" t="str">
        <f>""</f>
        <v/>
      </c>
      <c r="AK634" s="8" t="str">
        <f>""</f>
        <v/>
      </c>
      <c r="AL634" s="5" t="str">
        <f>"6,00"</f>
        <v>6,00</v>
      </c>
      <c r="AM634" s="5" t="str">
        <f>"2022"</f>
        <v>2022</v>
      </c>
      <c r="AN634" s="5" t="str">
        <f>"нет"</f>
        <v>нет</v>
      </c>
      <c r="AO634" s="5" t="str">
        <f>""</f>
        <v/>
      </c>
      <c r="AP634" s="5" t="str">
        <f>""</f>
        <v/>
      </c>
      <c r="AQ634" s="5" t="str">
        <f>""</f>
        <v/>
      </c>
      <c r="AR634" s="5" t="str">
        <f t="shared" si="847"/>
        <v>нет</v>
      </c>
      <c r="AS634" s="5" t="str">
        <f>""</f>
        <v/>
      </c>
      <c r="AT634" s="5" t="str">
        <f>""</f>
        <v/>
      </c>
      <c r="AU634" s="5" t="str">
        <f>""</f>
        <v/>
      </c>
      <c r="AV634" s="5" t="str">
        <f>""</f>
        <v/>
      </c>
      <c r="AW634" s="5" t="str">
        <f>"6,00"</f>
        <v>6,00</v>
      </c>
      <c r="AX634" s="5" t="str">
        <f>"2016"</f>
        <v>2016</v>
      </c>
      <c r="AY634" s="5" t="str">
        <f>"нет"</f>
        <v>нет</v>
      </c>
      <c r="AZ634" s="5" t="str">
        <f>""</f>
        <v/>
      </c>
      <c r="BA634" s="5" t="str">
        <f>""</f>
        <v/>
      </c>
      <c r="BB634" s="5" t="str">
        <f>""</f>
        <v/>
      </c>
      <c r="BC634" s="5" t="str">
        <f>"да"</f>
        <v>да</v>
      </c>
      <c r="BD634" s="5" t="str">
        <f>""</f>
        <v/>
      </c>
      <c r="BE634" s="5" t="str">
        <f>"12,00"</f>
        <v>12,00</v>
      </c>
      <c r="BF634" s="5" t="str">
        <f>"2016"</f>
        <v>2016</v>
      </c>
      <c r="BG634" s="5" t="str">
        <f>""</f>
        <v/>
      </c>
      <c r="BH634" s="5" t="str">
        <f>"12,00"</f>
        <v>12,00</v>
      </c>
      <c r="BI634" s="5" t="str">
        <f>"2034"</f>
        <v>2034</v>
      </c>
      <c r="BJ634" s="5" t="str">
        <f t="shared" si="839"/>
        <v>нет</v>
      </c>
      <c r="BK634" s="5" t="str">
        <f>""</f>
        <v/>
      </c>
      <c r="BL634" s="5" t="str">
        <f>""</f>
        <v/>
      </c>
      <c r="BM634" s="5" t="str">
        <f>""</f>
        <v/>
      </c>
      <c r="BN634" s="5" t="str">
        <f t="shared" si="840"/>
        <v>нет</v>
      </c>
      <c r="BO634" s="5" t="str">
        <f>""</f>
        <v/>
      </c>
      <c r="BP634" s="5" t="str">
        <f>""</f>
        <v/>
      </c>
      <c r="BQ634" s="5" t="str">
        <f>""</f>
        <v/>
      </c>
      <c r="BR634" s="5" t="str">
        <f>"2005"</f>
        <v>2005</v>
      </c>
      <c r="BS634" s="5" t="str">
        <f>"4,00"</f>
        <v>4,00</v>
      </c>
      <c r="BT634" s="5" t="str">
        <f>"2027"</f>
        <v>2027</v>
      </c>
      <c r="BU634" s="5" t="str">
        <f t="shared" si="834"/>
        <v>нет</v>
      </c>
      <c r="BV634" s="5" t="str">
        <f t="shared" si="835"/>
        <v>x</v>
      </c>
      <c r="BW634" s="5" t="str">
        <f t="shared" si="835"/>
        <v>x</v>
      </c>
      <c r="BX634" s="5" t="str">
        <f t="shared" si="835"/>
        <v>x</v>
      </c>
      <c r="BY634" s="5" t="str">
        <f>"да"</f>
        <v>да</v>
      </c>
      <c r="BZ634" s="5" t="str">
        <f>""</f>
        <v/>
      </c>
      <c r="CA634" s="5" t="str">
        <f>"2,00"</f>
        <v>2,00</v>
      </c>
      <c r="CB634" s="5" t="str">
        <f>"2041"</f>
        <v>2041</v>
      </c>
      <c r="CC634" s="5" t="str">
        <f>""</f>
        <v/>
      </c>
      <c r="CD634" s="5" t="str">
        <f>"29,00"</f>
        <v>29,00</v>
      </c>
      <c r="CE634" s="5" t="str">
        <f>"2024"</f>
        <v>2024</v>
      </c>
      <c r="CF634" s="5" t="str">
        <f>""</f>
        <v/>
      </c>
      <c r="CG634" s="5" t="str">
        <f>"10,00"</f>
        <v>10,00</v>
      </c>
      <c r="CH634" s="5" t="str">
        <f>"2024"</f>
        <v>2024</v>
      </c>
      <c r="CI634" s="5" t="str">
        <f>"4,00"</f>
        <v>4,00</v>
      </c>
      <c r="CJ634" s="5" t="str">
        <f>"2024"</f>
        <v>2024</v>
      </c>
    </row>
    <row r="635" spans="1:88" ht="11.25" customHeight="1">
      <c r="A635" s="3" t="str">
        <f>"1.622"</f>
        <v>1.622</v>
      </c>
      <c r="B635" s="4" t="str">
        <f>"пгт. Вохтога, ул. Юбилейная, д.22"</f>
        <v>пгт. Вохтога, ул. Юбилейная, д.22</v>
      </c>
      <c r="C635" s="7" t="str">
        <f>"1996"</f>
        <v>1996</v>
      </c>
      <c r="D635" s="5" t="str">
        <f>""</f>
        <v/>
      </c>
      <c r="E635" s="5" t="str">
        <f>"12,00"</f>
        <v>12,00</v>
      </c>
      <c r="F635" s="5" t="str">
        <f>"2020"</f>
        <v>2020</v>
      </c>
      <c r="G635" s="5" t="str">
        <f t="shared" si="826"/>
        <v>да</v>
      </c>
      <c r="H635" s="5" t="str">
        <f>"2010"</f>
        <v>2010</v>
      </c>
      <c r="I635" s="5" t="str">
        <f>"10,00"</f>
        <v>10,00</v>
      </c>
      <c r="J635" s="5" t="str">
        <f>"2020"</f>
        <v>2020</v>
      </c>
      <c r="K635" s="5" t="str">
        <f t="shared" si="846"/>
        <v>да</v>
      </c>
      <c r="L635" s="5" t="str">
        <f>""</f>
        <v/>
      </c>
      <c r="M635" s="5" t="str">
        <f>"35,00"</f>
        <v>35,00</v>
      </c>
      <c r="N635" s="5" t="str">
        <f>"2020"</f>
        <v>2020</v>
      </c>
      <c r="O635" s="8" t="str">
        <f>""</f>
        <v/>
      </c>
      <c r="P635" s="5" t="str">
        <f>"15,00"</f>
        <v>15,00</v>
      </c>
      <c r="Q635" s="5" t="str">
        <f>"2029"</f>
        <v>2029</v>
      </c>
      <c r="R635" s="5" t="str">
        <f>"нет"</f>
        <v>нет</v>
      </c>
      <c r="S635" s="5" t="str">
        <f>""</f>
        <v/>
      </c>
      <c r="T635" s="5" t="str">
        <f>""</f>
        <v/>
      </c>
      <c r="U635" s="5" t="str">
        <f>""</f>
        <v/>
      </c>
      <c r="V635" s="5" t="str">
        <f>"нет"</f>
        <v>нет</v>
      </c>
      <c r="W635" s="5" t="str">
        <f>""</f>
        <v/>
      </c>
      <c r="X635" s="5" t="str">
        <f>""</f>
        <v/>
      </c>
      <c r="Y635" s="9" t="str">
        <f>""</f>
        <v/>
      </c>
      <c r="Z635" s="5" t="str">
        <f>""</f>
        <v/>
      </c>
      <c r="AA635" s="5" t="str">
        <f>"2,00"</f>
        <v>2,00</v>
      </c>
      <c r="AB635" s="5" t="str">
        <f>"2042"</f>
        <v>2042</v>
      </c>
      <c r="AC635" s="5" t="str">
        <f t="shared" si="842"/>
        <v>нет</v>
      </c>
      <c r="AD635" s="5" t="str">
        <f>""</f>
        <v/>
      </c>
      <c r="AE635" s="5" t="str">
        <f>""</f>
        <v/>
      </c>
      <c r="AF635" s="5" t="str">
        <f>""</f>
        <v/>
      </c>
      <c r="AG635" s="5" t="str">
        <f t="shared" si="843"/>
        <v>нет</v>
      </c>
      <c r="AH635" s="5" t="str">
        <f>""</f>
        <v/>
      </c>
      <c r="AI635" s="5" t="str">
        <f>""</f>
        <v/>
      </c>
      <c r="AJ635" s="5" t="str">
        <f>""</f>
        <v/>
      </c>
      <c r="AK635" s="8" t="str">
        <f>""</f>
        <v/>
      </c>
      <c r="AL635" s="5" t="str">
        <f>"25,00"</f>
        <v>25,00</v>
      </c>
      <c r="AM635" s="5" t="str">
        <f>"2027"</f>
        <v>2027</v>
      </c>
      <c r="AN635" s="5" t="str">
        <f>"нет"</f>
        <v>нет</v>
      </c>
      <c r="AO635" s="5" t="str">
        <f>""</f>
        <v/>
      </c>
      <c r="AP635" s="5" t="str">
        <f>""</f>
        <v/>
      </c>
      <c r="AQ635" s="5" t="str">
        <f>""</f>
        <v/>
      </c>
      <c r="AR635" s="5" t="str">
        <f t="shared" si="847"/>
        <v>нет</v>
      </c>
      <c r="AS635" s="5" t="str">
        <f>""</f>
        <v/>
      </c>
      <c r="AT635" s="5" t="str">
        <f>""</f>
        <v/>
      </c>
      <c r="AU635" s="5" t="str">
        <f>""</f>
        <v/>
      </c>
      <c r="AV635" s="5" t="str">
        <f>""</f>
        <v/>
      </c>
      <c r="AW635" s="5" t="str">
        <f>"25,00"</f>
        <v>25,00</v>
      </c>
      <c r="AX635" s="5" t="str">
        <f>"2027"</f>
        <v>2027</v>
      </c>
      <c r="AY635" s="5" t="str">
        <f>"нет"</f>
        <v>нет</v>
      </c>
      <c r="AZ635" s="5" t="str">
        <f>""</f>
        <v/>
      </c>
      <c r="BA635" s="5" t="str">
        <f>""</f>
        <v/>
      </c>
      <c r="BB635" s="5" t="str">
        <f>""</f>
        <v/>
      </c>
      <c r="BC635" s="5" t="str">
        <f>"да"</f>
        <v>да</v>
      </c>
      <c r="BD635" s="5" t="str">
        <f>""</f>
        <v/>
      </c>
      <c r="BE635" s="5" t="str">
        <f>"25,00"</f>
        <v>25,00</v>
      </c>
      <c r="BF635" s="5" t="str">
        <f>"2027"</f>
        <v>2027</v>
      </c>
      <c r="BG635" s="5" t="str">
        <f>""</f>
        <v/>
      </c>
      <c r="BH635" s="5" t="str">
        <f>"10,00"</f>
        <v>10,00</v>
      </c>
      <c r="BI635" s="5" t="str">
        <f>"2030"</f>
        <v>2030</v>
      </c>
      <c r="BJ635" s="5" t="str">
        <f t="shared" si="839"/>
        <v>нет</v>
      </c>
      <c r="BK635" s="5" t="str">
        <f>""</f>
        <v/>
      </c>
      <c r="BL635" s="5" t="str">
        <f>""</f>
        <v/>
      </c>
      <c r="BM635" s="5" t="str">
        <f>""</f>
        <v/>
      </c>
      <c r="BN635" s="5" t="str">
        <f t="shared" si="840"/>
        <v>нет</v>
      </c>
      <c r="BO635" s="5" t="str">
        <f>""</f>
        <v/>
      </c>
      <c r="BP635" s="5" t="str">
        <f>""</f>
        <v/>
      </c>
      <c r="BQ635" s="5" t="str">
        <f>""</f>
        <v/>
      </c>
      <c r="BR635" s="5" t="str">
        <f>""</f>
        <v/>
      </c>
      <c r="BS635" s="5" t="str">
        <f>"27,00"</f>
        <v>27,00</v>
      </c>
      <c r="BT635" s="5" t="str">
        <f>"2027"</f>
        <v>2027</v>
      </c>
      <c r="BU635" s="5" t="str">
        <f t="shared" si="834"/>
        <v>нет</v>
      </c>
      <c r="BV635" s="5" t="str">
        <f t="shared" si="835"/>
        <v>x</v>
      </c>
      <c r="BW635" s="5" t="str">
        <f t="shared" si="835"/>
        <v>x</v>
      </c>
      <c r="BX635" s="5" t="str">
        <f t="shared" si="835"/>
        <v>x</v>
      </c>
      <c r="BY635" s="5" t="str">
        <f>"да"</f>
        <v>да</v>
      </c>
      <c r="BZ635" s="5" t="str">
        <f>""</f>
        <v/>
      </c>
      <c r="CA635" s="5" t="str">
        <f>"5,00"</f>
        <v>5,00</v>
      </c>
      <c r="CB635" s="5" t="str">
        <f>"2038"</f>
        <v>2038</v>
      </c>
      <c r="CC635" s="5" t="str">
        <f>""</f>
        <v/>
      </c>
      <c r="CD635" s="5" t="str">
        <f>"5,00"</f>
        <v>5,00</v>
      </c>
      <c r="CE635" s="5" t="str">
        <f>"2038"</f>
        <v>2038</v>
      </c>
      <c r="CF635" s="5" t="str">
        <f>""</f>
        <v/>
      </c>
      <c r="CG635" s="5" t="str">
        <f>"2,00"</f>
        <v>2,00</v>
      </c>
      <c r="CH635" s="5" t="str">
        <f>"2038"</f>
        <v>2038</v>
      </c>
      <c r="CI635" s="5" t="str">
        <f>"5,00"</f>
        <v>5,00</v>
      </c>
      <c r="CJ635" s="5" t="str">
        <f>"2038"</f>
        <v>2038</v>
      </c>
    </row>
    <row r="636" spans="1:88" ht="11.25" customHeight="1">
      <c r="A636" s="3" t="str">
        <f>"1.623"</f>
        <v>1.623</v>
      </c>
      <c r="B636" s="4" t="str">
        <f>"пгт. Вохтога, ул. Юбилейная, д.8"</f>
        <v>пгт. Вохтога, ул. Юбилейная, д.8</v>
      </c>
      <c r="C636" s="7" t="str">
        <f>"1994"</f>
        <v>1994</v>
      </c>
      <c r="D636" s="5" t="str">
        <f>""</f>
        <v/>
      </c>
      <c r="E636" s="5" t="str">
        <f>"4,00"</f>
        <v>4,00</v>
      </c>
      <c r="F636" s="5" t="str">
        <f>"2020"</f>
        <v>2020</v>
      </c>
      <c r="G636" s="5" t="str">
        <f t="shared" si="826"/>
        <v>да</v>
      </c>
      <c r="H636" s="5" t="str">
        <f>"2010"</f>
        <v>2010</v>
      </c>
      <c r="I636" s="5" t="str">
        <f>"4,00"</f>
        <v>4,00</v>
      </c>
      <c r="J636" s="5" t="str">
        <f>"2020"</f>
        <v>2020</v>
      </c>
      <c r="K636" s="5" t="str">
        <f t="shared" si="846"/>
        <v>да</v>
      </c>
      <c r="L636" s="5" t="str">
        <f>""</f>
        <v/>
      </c>
      <c r="M636" s="5" t="str">
        <f>"4,00"</f>
        <v>4,00</v>
      </c>
      <c r="N636" s="5" t="str">
        <f>"2020"</f>
        <v>2020</v>
      </c>
      <c r="O636" s="8" t="str">
        <f>""</f>
        <v/>
      </c>
      <c r="P636" s="5" t="str">
        <f>"4,00"</f>
        <v>4,00</v>
      </c>
      <c r="Q636" s="5" t="str">
        <f>"2036"</f>
        <v>2036</v>
      </c>
      <c r="R636" s="5" t="str">
        <f>"нет"</f>
        <v>нет</v>
      </c>
      <c r="S636" s="5" t="str">
        <f>""</f>
        <v/>
      </c>
      <c r="T636" s="5" t="str">
        <f>""</f>
        <v/>
      </c>
      <c r="U636" s="5" t="str">
        <f>""</f>
        <v/>
      </c>
      <c r="V636" s="5" t="str">
        <f>"нет"</f>
        <v>нет</v>
      </c>
      <c r="W636" s="5" t="str">
        <f>""</f>
        <v/>
      </c>
      <c r="X636" s="5" t="str">
        <f>""</f>
        <v/>
      </c>
      <c r="Y636" s="9" t="str">
        <f>""</f>
        <v/>
      </c>
      <c r="Z636" s="5" t="str">
        <f>""</f>
        <v/>
      </c>
      <c r="AA636" s="5" t="str">
        <f>"1,00"</f>
        <v>1,00</v>
      </c>
      <c r="AB636" s="5" t="str">
        <f>"2045"</f>
        <v>2045</v>
      </c>
      <c r="AC636" s="5" t="str">
        <f t="shared" si="842"/>
        <v>нет</v>
      </c>
      <c r="AD636" s="5" t="str">
        <f>""</f>
        <v/>
      </c>
      <c r="AE636" s="5" t="str">
        <f>""</f>
        <v/>
      </c>
      <c r="AF636" s="5" t="str">
        <f>""</f>
        <v/>
      </c>
      <c r="AG636" s="5" t="str">
        <f t="shared" si="843"/>
        <v>нет</v>
      </c>
      <c r="AH636" s="5" t="str">
        <f>""</f>
        <v/>
      </c>
      <c r="AI636" s="5" t="str">
        <f>""</f>
        <v/>
      </c>
      <c r="AJ636" s="5" t="str">
        <f>""</f>
        <v/>
      </c>
      <c r="AK636" s="8" t="str">
        <f>""</f>
        <v/>
      </c>
      <c r="AL636" s="5" t="str">
        <f>"12,00"</f>
        <v>12,00</v>
      </c>
      <c r="AM636" s="5" t="str">
        <f>"2026"</f>
        <v>2026</v>
      </c>
      <c r="AN636" s="5" t="str">
        <f>"нет"</f>
        <v>нет</v>
      </c>
      <c r="AO636" s="5" t="str">
        <f>""</f>
        <v/>
      </c>
      <c r="AP636" s="5" t="str">
        <f>""</f>
        <v/>
      </c>
      <c r="AQ636" s="5" t="str">
        <f>""</f>
        <v/>
      </c>
      <c r="AR636" s="5" t="str">
        <f t="shared" si="847"/>
        <v>нет</v>
      </c>
      <c r="AS636" s="5" t="str">
        <f>""</f>
        <v/>
      </c>
      <c r="AT636" s="5" t="str">
        <f>""</f>
        <v/>
      </c>
      <c r="AU636" s="5" t="str">
        <f>""</f>
        <v/>
      </c>
      <c r="AV636" s="5" t="str">
        <f>""</f>
        <v/>
      </c>
      <c r="AW636" s="5" t="str">
        <f>"12,00"</f>
        <v>12,00</v>
      </c>
      <c r="AX636" s="5" t="str">
        <f>"2026"</f>
        <v>2026</v>
      </c>
      <c r="AY636" s="5" t="str">
        <f>"нет"</f>
        <v>нет</v>
      </c>
      <c r="AZ636" s="5" t="str">
        <f>""</f>
        <v/>
      </c>
      <c r="BA636" s="5" t="str">
        <f>""</f>
        <v/>
      </c>
      <c r="BB636" s="5" t="str">
        <f>""</f>
        <v/>
      </c>
      <c r="BC636" s="5" t="str">
        <f>"да"</f>
        <v>да</v>
      </c>
      <c r="BD636" s="5" t="str">
        <f>""</f>
        <v/>
      </c>
      <c r="BE636" s="5" t="str">
        <f>"12,00"</f>
        <v>12,00</v>
      </c>
      <c r="BF636" s="5" t="str">
        <f>"2026"</f>
        <v>2026</v>
      </c>
      <c r="BG636" s="5" t="str">
        <f>""</f>
        <v/>
      </c>
      <c r="BH636" s="5" t="str">
        <f>"1,00"</f>
        <v>1,00</v>
      </c>
      <c r="BI636" s="5" t="str">
        <f>"2034"</f>
        <v>2034</v>
      </c>
      <c r="BJ636" s="5" t="str">
        <f t="shared" si="839"/>
        <v>нет</v>
      </c>
      <c r="BK636" s="5" t="str">
        <f>""</f>
        <v/>
      </c>
      <c r="BL636" s="5" t="str">
        <f>""</f>
        <v/>
      </c>
      <c r="BM636" s="5" t="str">
        <f>""</f>
        <v/>
      </c>
      <c r="BN636" s="5" t="str">
        <f t="shared" si="840"/>
        <v>нет</v>
      </c>
      <c r="BO636" s="5" t="str">
        <f>""</f>
        <v/>
      </c>
      <c r="BP636" s="5" t="str">
        <f>""</f>
        <v/>
      </c>
      <c r="BQ636" s="5" t="str">
        <f>""</f>
        <v/>
      </c>
      <c r="BR636" s="5" t="str">
        <f>""</f>
        <v/>
      </c>
      <c r="BS636" s="5" t="str">
        <f>"12,00"</f>
        <v>12,00</v>
      </c>
      <c r="BT636" s="5" t="str">
        <f>"2025"</f>
        <v>2025</v>
      </c>
      <c r="BU636" s="5" t="str">
        <f t="shared" si="834"/>
        <v>нет</v>
      </c>
      <c r="BV636" s="5" t="str">
        <f t="shared" si="835"/>
        <v>x</v>
      </c>
      <c r="BW636" s="5" t="str">
        <f t="shared" si="835"/>
        <v>x</v>
      </c>
      <c r="BX636" s="5" t="str">
        <f t="shared" si="835"/>
        <v>x</v>
      </c>
      <c r="BY636" s="5" t="str">
        <f>"да"</f>
        <v>да</v>
      </c>
      <c r="BZ636" s="5" t="str">
        <f>""</f>
        <v/>
      </c>
      <c r="CA636" s="5" t="str">
        <f>"5,00"</f>
        <v>5,00</v>
      </c>
      <c r="CB636" s="5" t="str">
        <f>"2037"</f>
        <v>2037</v>
      </c>
      <c r="CC636" s="5" t="str">
        <f>""</f>
        <v/>
      </c>
      <c r="CD636" s="5" t="str">
        <f>"2,00"</f>
        <v>2,00</v>
      </c>
      <c r="CE636" s="5" t="str">
        <f>"2037"</f>
        <v>2037</v>
      </c>
      <c r="CF636" s="5" t="str">
        <f>""</f>
        <v/>
      </c>
      <c r="CG636" s="5" t="str">
        <f>"1,00"</f>
        <v>1,00</v>
      </c>
      <c r="CH636" s="5" t="str">
        <f>"2037"</f>
        <v>2037</v>
      </c>
      <c r="CI636" s="5" t="str">
        <f>"4,00"</f>
        <v>4,00</v>
      </c>
      <c r="CJ636" s="5" t="str">
        <f>"2037"</f>
        <v>2037</v>
      </c>
    </row>
    <row r="637" spans="1:88" ht="11.25" customHeight="1">
      <c r="A637" s="3" t="str">
        <f>"1.624"</f>
        <v>1.624</v>
      </c>
      <c r="B637" s="4" t="str">
        <f>"пгт. Вохтога, ул. Южная, д.24"</f>
        <v>пгт. Вохтога, ул. Южная, д.24</v>
      </c>
      <c r="C637" s="7" t="str">
        <f>"1977"</f>
        <v>1977</v>
      </c>
      <c r="D637" s="5" t="str">
        <f>""</f>
        <v/>
      </c>
      <c r="E637" s="5" t="str">
        <f>"10,00"</f>
        <v>10,00</v>
      </c>
      <c r="F637" s="5" t="str">
        <f>"2039"</f>
        <v>2039</v>
      </c>
      <c r="G637" s="5" t="str">
        <f>"нет"</f>
        <v>нет</v>
      </c>
      <c r="H637" s="5" t="str">
        <f>""</f>
        <v/>
      </c>
      <c r="I637" s="5" t="str">
        <f>""</f>
        <v/>
      </c>
      <c r="J637" s="5" t="str">
        <f>""</f>
        <v/>
      </c>
      <c r="K637" s="5" t="str">
        <f>"нет"</f>
        <v>нет</v>
      </c>
      <c r="L637" s="5" t="str">
        <f>""</f>
        <v/>
      </c>
      <c r="M637" s="5" t="str">
        <f>""</f>
        <v/>
      </c>
      <c r="N637" s="5" t="str">
        <f>""</f>
        <v/>
      </c>
      <c r="O637" s="8" t="str">
        <f>""</f>
        <v/>
      </c>
      <c r="P637" s="5" t="str">
        <f>""</f>
        <v/>
      </c>
      <c r="Q637" s="5" t="str">
        <f>""</f>
        <v/>
      </c>
      <c r="R637" s="5" t="str">
        <f>""</f>
        <v/>
      </c>
      <c r="S637" s="5" t="str">
        <f>""</f>
        <v/>
      </c>
      <c r="T637" s="5" t="str">
        <f>""</f>
        <v/>
      </c>
      <c r="U637" s="5" t="str">
        <f>""</f>
        <v/>
      </c>
      <c r="V637" s="5" t="str">
        <f>""</f>
        <v/>
      </c>
      <c r="W637" s="5" t="str">
        <f>""</f>
        <v/>
      </c>
      <c r="X637" s="5" t="str">
        <f>""</f>
        <v/>
      </c>
      <c r="Y637" s="9" t="str">
        <f>""</f>
        <v/>
      </c>
      <c r="Z637" s="5" t="str">
        <f>""</f>
        <v/>
      </c>
      <c r="AA637" s="5" t="str">
        <f>""</f>
        <v/>
      </c>
      <c r="AB637" s="5" t="str">
        <f>""</f>
        <v/>
      </c>
      <c r="AC637" s="5" t="str">
        <f>""</f>
        <v/>
      </c>
      <c r="AD637" s="5" t="str">
        <f>""</f>
        <v/>
      </c>
      <c r="AE637" s="5" t="str">
        <f>""</f>
        <v/>
      </c>
      <c r="AF637" s="5" t="str">
        <f>""</f>
        <v/>
      </c>
      <c r="AG637" s="5" t="str">
        <f>""</f>
        <v/>
      </c>
      <c r="AH637" s="5" t="str">
        <f>""</f>
        <v/>
      </c>
      <c r="AI637" s="5" t="str">
        <f>""</f>
        <v/>
      </c>
      <c r="AJ637" s="5" t="str">
        <f>""</f>
        <v/>
      </c>
      <c r="AK637" s="8" t="str">
        <f>""</f>
        <v/>
      </c>
      <c r="AL637" s="5" t="str">
        <f>"15,00"</f>
        <v>15,00</v>
      </c>
      <c r="AM637" s="5" t="str">
        <f>"2039"</f>
        <v>2039</v>
      </c>
      <c r="AN637" s="5" t="str">
        <f>"нет"</f>
        <v>нет</v>
      </c>
      <c r="AO637" s="5" t="str">
        <f>""</f>
        <v/>
      </c>
      <c r="AP637" s="5" t="str">
        <f>""</f>
        <v/>
      </c>
      <c r="AQ637" s="5" t="str">
        <f>""</f>
        <v/>
      </c>
      <c r="AR637" s="5" t="str">
        <f t="shared" si="847"/>
        <v>нет</v>
      </c>
      <c r="AS637" s="5" t="str">
        <f>""</f>
        <v/>
      </c>
      <c r="AT637" s="5" t="str">
        <f>""</f>
        <v/>
      </c>
      <c r="AU637" s="5" t="str">
        <f>""</f>
        <v/>
      </c>
      <c r="AV637" s="5" t="str">
        <f t="shared" ref="AV637:BF640" si="848">"х"</f>
        <v>х</v>
      </c>
      <c r="AW637" s="5" t="str">
        <f t="shared" si="848"/>
        <v>х</v>
      </c>
      <c r="AX637" s="5" t="str">
        <f t="shared" si="848"/>
        <v>х</v>
      </c>
      <c r="AY637" s="5" t="str">
        <f t="shared" si="848"/>
        <v>х</v>
      </c>
      <c r="AZ637" s="5" t="str">
        <f t="shared" si="848"/>
        <v>х</v>
      </c>
      <c r="BA637" s="5" t="str">
        <f t="shared" si="848"/>
        <v>х</v>
      </c>
      <c r="BB637" s="5" t="str">
        <f t="shared" si="848"/>
        <v>х</v>
      </c>
      <c r="BC637" s="5" t="str">
        <f t="shared" si="848"/>
        <v>х</v>
      </c>
      <c r="BD637" s="5" t="str">
        <f t="shared" si="848"/>
        <v>х</v>
      </c>
      <c r="BE637" s="5" t="str">
        <f t="shared" si="848"/>
        <v>х</v>
      </c>
      <c r="BF637" s="5" t="str">
        <f t="shared" si="848"/>
        <v>х</v>
      </c>
      <c r="BG637" s="5" t="str">
        <f>""</f>
        <v/>
      </c>
      <c r="BH637" s="5" t="str">
        <f>""</f>
        <v/>
      </c>
      <c r="BI637" s="5" t="str">
        <f>""</f>
        <v/>
      </c>
      <c r="BJ637" s="5" t="str">
        <f>""</f>
        <v/>
      </c>
      <c r="BK637" s="5" t="str">
        <f>""</f>
        <v/>
      </c>
      <c r="BL637" s="5" t="str">
        <f>""</f>
        <v/>
      </c>
      <c r="BM637" s="5" t="str">
        <f>""</f>
        <v/>
      </c>
      <c r="BN637" s="5" t="str">
        <f>""</f>
        <v/>
      </c>
      <c r="BO637" s="5" t="str">
        <f>""</f>
        <v/>
      </c>
      <c r="BP637" s="5" t="str">
        <f>""</f>
        <v/>
      </c>
      <c r="BQ637" s="5" t="str">
        <f>""</f>
        <v/>
      </c>
      <c r="BR637" s="5" t="str">
        <f>""</f>
        <v/>
      </c>
      <c r="BS637" s="5" t="str">
        <f>"30,00"</f>
        <v>30,00</v>
      </c>
      <c r="BT637" s="5" t="str">
        <f>"2018"</f>
        <v>2018</v>
      </c>
      <c r="BU637" s="5" t="str">
        <f t="shared" si="834"/>
        <v>нет</v>
      </c>
      <c r="BV637" s="5" t="str">
        <f t="shared" si="835"/>
        <v>x</v>
      </c>
      <c r="BW637" s="5" t="str">
        <f t="shared" si="835"/>
        <v>x</v>
      </c>
      <c r="BX637" s="5" t="str">
        <f t="shared" si="835"/>
        <v>x</v>
      </c>
      <c r="BY637" s="5" t="str">
        <f t="shared" ref="BY637:BY658" si="849">"нет"</f>
        <v>нет</v>
      </c>
      <c r="BZ637" s="5" t="str">
        <f t="shared" ref="BZ637:CB652" si="850">"x"</f>
        <v>x</v>
      </c>
      <c r="CA637" s="5" t="str">
        <f t="shared" si="850"/>
        <v>x</v>
      </c>
      <c r="CB637" s="5" t="str">
        <f t="shared" si="850"/>
        <v>x</v>
      </c>
      <c r="CC637" s="5" t="str">
        <f>""</f>
        <v/>
      </c>
      <c r="CD637" s="5" t="str">
        <f>"33,00"</f>
        <v>33,00</v>
      </c>
      <c r="CE637" s="5" t="str">
        <f>"2033"</f>
        <v>2033</v>
      </c>
      <c r="CF637" s="5" t="str">
        <f>""</f>
        <v/>
      </c>
      <c r="CG637" s="5" t="str">
        <f>"20,00"</f>
        <v>20,00</v>
      </c>
      <c r="CH637" s="5" t="str">
        <f>"2033"</f>
        <v>2033</v>
      </c>
      <c r="CI637" s="5" t="str">
        <f>"49,00"</f>
        <v>49,00</v>
      </c>
      <c r="CJ637" s="5" t="str">
        <f>"2033"</f>
        <v>2033</v>
      </c>
    </row>
    <row r="638" spans="1:88" ht="11.25" customHeight="1">
      <c r="A638" s="3" t="str">
        <f>"1.625"</f>
        <v>1.625</v>
      </c>
      <c r="B638" s="4" t="str">
        <f>"пгт. Вохтога, ул. Южная, д.31"</f>
        <v>пгт. Вохтога, ул. Южная, д.31</v>
      </c>
      <c r="C638" s="7" t="str">
        <f>"1994"</f>
        <v>1994</v>
      </c>
      <c r="D638" s="5" t="str">
        <f>""</f>
        <v/>
      </c>
      <c r="E638" s="5" t="str">
        <f>"10,00"</f>
        <v>10,00</v>
      </c>
      <c r="F638" s="5" t="str">
        <f>"2032"</f>
        <v>2032</v>
      </c>
      <c r="G638" s="5" t="str">
        <f>"нет"</f>
        <v>нет</v>
      </c>
      <c r="H638" s="5" t="str">
        <f>""</f>
        <v/>
      </c>
      <c r="I638" s="5" t="str">
        <f>""</f>
        <v/>
      </c>
      <c r="J638" s="5" t="str">
        <f>""</f>
        <v/>
      </c>
      <c r="K638" s="5" t="str">
        <f>"нет"</f>
        <v>нет</v>
      </c>
      <c r="L638" s="5" t="str">
        <f>""</f>
        <v/>
      </c>
      <c r="M638" s="5" t="str">
        <f>""</f>
        <v/>
      </c>
      <c r="N638" s="5" t="str">
        <f>""</f>
        <v/>
      </c>
      <c r="O638" s="8" t="str">
        <f>""</f>
        <v/>
      </c>
      <c r="P638" s="5" t="str">
        <f>""</f>
        <v/>
      </c>
      <c r="Q638" s="5" t="str">
        <f>""</f>
        <v/>
      </c>
      <c r="R638" s="5" t="str">
        <f>""</f>
        <v/>
      </c>
      <c r="S638" s="5" t="str">
        <f>""</f>
        <v/>
      </c>
      <c r="T638" s="5" t="str">
        <f>""</f>
        <v/>
      </c>
      <c r="U638" s="5" t="str">
        <f>""</f>
        <v/>
      </c>
      <c r="V638" s="5" t="str">
        <f>""</f>
        <v/>
      </c>
      <c r="W638" s="5" t="str">
        <f>""</f>
        <v/>
      </c>
      <c r="X638" s="5" t="str">
        <f>""</f>
        <v/>
      </c>
      <c r="Y638" s="9" t="str">
        <f>""</f>
        <v/>
      </c>
      <c r="Z638" s="5" t="str">
        <f>""</f>
        <v/>
      </c>
      <c r="AA638" s="5" t="str">
        <f>""</f>
        <v/>
      </c>
      <c r="AB638" s="5" t="str">
        <f>""</f>
        <v/>
      </c>
      <c r="AC638" s="5" t="str">
        <f>""</f>
        <v/>
      </c>
      <c r="AD638" s="5" t="str">
        <f>""</f>
        <v/>
      </c>
      <c r="AE638" s="5" t="str">
        <f>""</f>
        <v/>
      </c>
      <c r="AF638" s="5" t="str">
        <f>""</f>
        <v/>
      </c>
      <c r="AG638" s="5" t="str">
        <f>""</f>
        <v/>
      </c>
      <c r="AH638" s="5" t="str">
        <f>""</f>
        <v/>
      </c>
      <c r="AI638" s="5" t="str">
        <f>""</f>
        <v/>
      </c>
      <c r="AJ638" s="5" t="str">
        <f>""</f>
        <v/>
      </c>
      <c r="AK638" s="8" t="str">
        <f>"2012"</f>
        <v>2012</v>
      </c>
      <c r="AL638" s="5" t="str">
        <f>"1,00"</f>
        <v>1,00</v>
      </c>
      <c r="AM638" s="5" t="str">
        <f>"2042"</f>
        <v>2042</v>
      </c>
      <c r="AN638" s="5" t="str">
        <f>"нет"</f>
        <v>нет</v>
      </c>
      <c r="AO638" s="5" t="str">
        <f>""</f>
        <v/>
      </c>
      <c r="AP638" s="5" t="str">
        <f>""</f>
        <v/>
      </c>
      <c r="AQ638" s="5" t="str">
        <f>""</f>
        <v/>
      </c>
      <c r="AR638" s="5" t="str">
        <f t="shared" si="847"/>
        <v>нет</v>
      </c>
      <c r="AS638" s="5" t="str">
        <f>""</f>
        <v/>
      </c>
      <c r="AT638" s="5" t="str">
        <f>""</f>
        <v/>
      </c>
      <c r="AU638" s="5" t="str">
        <f>""</f>
        <v/>
      </c>
      <c r="AV638" s="5" t="str">
        <f t="shared" si="848"/>
        <v>х</v>
      </c>
      <c r="AW638" s="5" t="str">
        <f t="shared" si="848"/>
        <v>х</v>
      </c>
      <c r="AX638" s="5" t="str">
        <f t="shared" si="848"/>
        <v>х</v>
      </c>
      <c r="AY638" s="5" t="str">
        <f t="shared" si="848"/>
        <v>х</v>
      </c>
      <c r="AZ638" s="5" t="str">
        <f t="shared" si="848"/>
        <v>х</v>
      </c>
      <c r="BA638" s="5" t="str">
        <f t="shared" si="848"/>
        <v>х</v>
      </c>
      <c r="BB638" s="5" t="str">
        <f t="shared" si="848"/>
        <v>х</v>
      </c>
      <c r="BC638" s="5" t="str">
        <f t="shared" si="848"/>
        <v>х</v>
      </c>
      <c r="BD638" s="5" t="str">
        <f t="shared" si="848"/>
        <v>х</v>
      </c>
      <c r="BE638" s="5" t="str">
        <f t="shared" si="848"/>
        <v>х</v>
      </c>
      <c r="BF638" s="5" t="str">
        <f t="shared" si="848"/>
        <v>х</v>
      </c>
      <c r="BG638" s="5" t="str">
        <f>""</f>
        <v/>
      </c>
      <c r="BH638" s="5" t="str">
        <f>""</f>
        <v/>
      </c>
      <c r="BI638" s="5" t="str">
        <f>""</f>
        <v/>
      </c>
      <c r="BJ638" s="5" t="str">
        <f>""</f>
        <v/>
      </c>
      <c r="BK638" s="5" t="str">
        <f>""</f>
        <v/>
      </c>
      <c r="BL638" s="5" t="str">
        <f>""</f>
        <v/>
      </c>
      <c r="BM638" s="5" t="str">
        <f>""</f>
        <v/>
      </c>
      <c r="BN638" s="5" t="str">
        <f>""</f>
        <v/>
      </c>
      <c r="BO638" s="5" t="str">
        <f>""</f>
        <v/>
      </c>
      <c r="BP638" s="5" t="str">
        <f>""</f>
        <v/>
      </c>
      <c r="BQ638" s="5" t="str">
        <f>""</f>
        <v/>
      </c>
      <c r="BR638" s="5" t="str">
        <f>""</f>
        <v/>
      </c>
      <c r="BS638" s="5" t="str">
        <f>"35,00"</f>
        <v>35,00</v>
      </c>
      <c r="BT638" s="5" t="str">
        <f>"2018"</f>
        <v>2018</v>
      </c>
      <c r="BU638" s="5" t="str">
        <f t="shared" si="834"/>
        <v>нет</v>
      </c>
      <c r="BV638" s="5" t="str">
        <f t="shared" si="835"/>
        <v>x</v>
      </c>
      <c r="BW638" s="5" t="str">
        <f t="shared" si="835"/>
        <v>x</v>
      </c>
      <c r="BX638" s="5" t="str">
        <f t="shared" si="835"/>
        <v>x</v>
      </c>
      <c r="BY638" s="5" t="str">
        <f t="shared" si="849"/>
        <v>нет</v>
      </c>
      <c r="BZ638" s="5" t="str">
        <f t="shared" si="850"/>
        <v>x</v>
      </c>
      <c r="CA638" s="5" t="str">
        <f t="shared" si="850"/>
        <v>x</v>
      </c>
      <c r="CB638" s="5" t="str">
        <f t="shared" si="850"/>
        <v>x</v>
      </c>
      <c r="CC638" s="5" t="str">
        <f>""</f>
        <v/>
      </c>
      <c r="CD638" s="5" t="str">
        <f>"29,00"</f>
        <v>29,00</v>
      </c>
      <c r="CE638" s="5" t="str">
        <f>"2026"</f>
        <v>2026</v>
      </c>
      <c r="CF638" s="5" t="str">
        <f>""</f>
        <v/>
      </c>
      <c r="CG638" s="5" t="str">
        <f>"29,00"</f>
        <v>29,00</v>
      </c>
      <c r="CH638" s="5" t="str">
        <f>"2026"</f>
        <v>2026</v>
      </c>
      <c r="CI638" s="5" t="str">
        <f>"29,00"</f>
        <v>29,00</v>
      </c>
      <c r="CJ638" s="5" t="str">
        <f>"2032"</f>
        <v>2032</v>
      </c>
    </row>
    <row r="639" spans="1:88" ht="11.25" customHeight="1">
      <c r="A639" s="3" t="str">
        <f>"1.626"</f>
        <v>1.626</v>
      </c>
      <c r="B639" s="4" t="str">
        <f>"рзд. Скоморохово, д.2"</f>
        <v>рзд. Скоморохово, д.2</v>
      </c>
      <c r="C639" s="7" t="str">
        <f>"1970"</f>
        <v>1970</v>
      </c>
      <c r="D639" s="5" t="str">
        <f t="shared" ref="D639:N639" si="851">"х"</f>
        <v>х</v>
      </c>
      <c r="E639" s="5" t="str">
        <f t="shared" si="851"/>
        <v>х</v>
      </c>
      <c r="F639" s="5" t="str">
        <f t="shared" si="851"/>
        <v>х</v>
      </c>
      <c r="G639" s="5" t="str">
        <f t="shared" si="851"/>
        <v>х</v>
      </c>
      <c r="H639" s="5" t="str">
        <f t="shared" si="851"/>
        <v>х</v>
      </c>
      <c r="I639" s="5" t="str">
        <f t="shared" si="851"/>
        <v>х</v>
      </c>
      <c r="J639" s="5" t="str">
        <f t="shared" si="851"/>
        <v>х</v>
      </c>
      <c r="K639" s="5" t="str">
        <f t="shared" si="851"/>
        <v>х</v>
      </c>
      <c r="L639" s="5" t="str">
        <f t="shared" si="851"/>
        <v>х</v>
      </c>
      <c r="M639" s="5" t="str">
        <f t="shared" si="851"/>
        <v>х</v>
      </c>
      <c r="N639" s="5" t="str">
        <f t="shared" si="851"/>
        <v>х</v>
      </c>
      <c r="O639" s="8" t="str">
        <f>""</f>
        <v/>
      </c>
      <c r="P639" s="5" t="str">
        <f>"65,00"</f>
        <v>65,00</v>
      </c>
      <c r="Q639" s="5" t="str">
        <f>"2020"</f>
        <v>2020</v>
      </c>
      <c r="R639" s="5" t="str">
        <f>""</f>
        <v/>
      </c>
      <c r="S639" s="5" t="str">
        <f>""</f>
        <v/>
      </c>
      <c r="T639" s="5" t="str">
        <f>""</f>
        <v/>
      </c>
      <c r="U639" s="5" t="str">
        <f>""</f>
        <v/>
      </c>
      <c r="V639" s="5" t="str">
        <f>""</f>
        <v/>
      </c>
      <c r="W639" s="5" t="str">
        <f>""</f>
        <v/>
      </c>
      <c r="X639" s="5" t="str">
        <f>""</f>
        <v/>
      </c>
      <c r="Y639" s="9" t="str">
        <f>""</f>
        <v/>
      </c>
      <c r="Z639" s="5" t="str">
        <f t="shared" ref="Z639:AU639" si="852">"х"</f>
        <v>х</v>
      </c>
      <c r="AA639" s="5" t="str">
        <f t="shared" si="852"/>
        <v>х</v>
      </c>
      <c r="AB639" s="5" t="str">
        <f t="shared" si="852"/>
        <v>х</v>
      </c>
      <c r="AC639" s="5" t="str">
        <f t="shared" si="852"/>
        <v>х</v>
      </c>
      <c r="AD639" s="5" t="str">
        <f t="shared" si="852"/>
        <v>х</v>
      </c>
      <c r="AE639" s="5" t="str">
        <f t="shared" si="852"/>
        <v>х</v>
      </c>
      <c r="AF639" s="5" t="str">
        <f t="shared" si="852"/>
        <v>х</v>
      </c>
      <c r="AG639" s="5" t="str">
        <f t="shared" si="852"/>
        <v>х</v>
      </c>
      <c r="AH639" s="5" t="str">
        <f t="shared" si="852"/>
        <v>х</v>
      </c>
      <c r="AI639" s="5" t="str">
        <f t="shared" si="852"/>
        <v>х</v>
      </c>
      <c r="AJ639" s="5" t="str">
        <f t="shared" si="852"/>
        <v>х</v>
      </c>
      <c r="AK639" s="8" t="str">
        <f t="shared" si="852"/>
        <v>х</v>
      </c>
      <c r="AL639" s="5" t="str">
        <f t="shared" si="852"/>
        <v>х</v>
      </c>
      <c r="AM639" s="5" t="str">
        <f t="shared" si="852"/>
        <v>х</v>
      </c>
      <c r="AN639" s="5" t="str">
        <f t="shared" si="852"/>
        <v>х</v>
      </c>
      <c r="AO639" s="5" t="str">
        <f t="shared" si="852"/>
        <v>х</v>
      </c>
      <c r="AP639" s="5" t="str">
        <f t="shared" si="852"/>
        <v>х</v>
      </c>
      <c r="AQ639" s="5" t="str">
        <f t="shared" si="852"/>
        <v>х</v>
      </c>
      <c r="AR639" s="5" t="str">
        <f t="shared" si="852"/>
        <v>х</v>
      </c>
      <c r="AS639" s="5" t="str">
        <f t="shared" si="852"/>
        <v>х</v>
      </c>
      <c r="AT639" s="5" t="str">
        <f t="shared" si="852"/>
        <v>х</v>
      </c>
      <c r="AU639" s="5" t="str">
        <f t="shared" si="852"/>
        <v>х</v>
      </c>
      <c r="AV639" s="5" t="str">
        <f t="shared" si="848"/>
        <v>х</v>
      </c>
      <c r="AW639" s="5" t="str">
        <f t="shared" si="848"/>
        <v>х</v>
      </c>
      <c r="AX639" s="5" t="str">
        <f t="shared" si="848"/>
        <v>х</v>
      </c>
      <c r="AY639" s="5" t="str">
        <f t="shared" si="848"/>
        <v>х</v>
      </c>
      <c r="AZ639" s="5" t="str">
        <f t="shared" si="848"/>
        <v>х</v>
      </c>
      <c r="BA639" s="5" t="str">
        <f t="shared" si="848"/>
        <v>х</v>
      </c>
      <c r="BB639" s="5" t="str">
        <f t="shared" si="848"/>
        <v>х</v>
      </c>
      <c r="BC639" s="5" t="str">
        <f t="shared" si="848"/>
        <v>х</v>
      </c>
      <c r="BD639" s="5" t="str">
        <f t="shared" si="848"/>
        <v>х</v>
      </c>
      <c r="BE639" s="5" t="str">
        <f t="shared" si="848"/>
        <v>х</v>
      </c>
      <c r="BF639" s="5" t="str">
        <f t="shared" si="848"/>
        <v>х</v>
      </c>
      <c r="BG639" s="5" t="str">
        <f t="shared" ref="BG639:BQ640" si="853">"х"</f>
        <v>х</v>
      </c>
      <c r="BH639" s="5" t="str">
        <f t="shared" si="853"/>
        <v>х</v>
      </c>
      <c r="BI639" s="5" t="str">
        <f t="shared" si="853"/>
        <v>х</v>
      </c>
      <c r="BJ639" s="5" t="str">
        <f t="shared" si="853"/>
        <v>х</v>
      </c>
      <c r="BK639" s="5" t="str">
        <f t="shared" si="853"/>
        <v>х</v>
      </c>
      <c r="BL639" s="5" t="str">
        <f t="shared" si="853"/>
        <v>х</v>
      </c>
      <c r="BM639" s="5" t="str">
        <f t="shared" si="853"/>
        <v>х</v>
      </c>
      <c r="BN639" s="5" t="str">
        <f t="shared" si="853"/>
        <v>х</v>
      </c>
      <c r="BO639" s="5" t="str">
        <f t="shared" si="853"/>
        <v>х</v>
      </c>
      <c r="BP639" s="5" t="str">
        <f t="shared" si="853"/>
        <v>х</v>
      </c>
      <c r="BQ639" s="5" t="str">
        <f t="shared" si="853"/>
        <v>х</v>
      </c>
      <c r="BR639" s="5" t="str">
        <f>""</f>
        <v/>
      </c>
      <c r="BS639" s="5" t="str">
        <f>"65,00"</f>
        <v>65,00</v>
      </c>
      <c r="BT639" s="5" t="str">
        <f>"2020"</f>
        <v>2020</v>
      </c>
      <c r="BU639" s="5" t="str">
        <f t="shared" si="834"/>
        <v>нет</v>
      </c>
      <c r="BV639" s="5" t="str">
        <f t="shared" si="835"/>
        <v>x</v>
      </c>
      <c r="BW639" s="5" t="str">
        <f t="shared" si="835"/>
        <v>x</v>
      </c>
      <c r="BX639" s="5" t="str">
        <f t="shared" si="835"/>
        <v>x</v>
      </c>
      <c r="BY639" s="5" t="str">
        <f t="shared" si="849"/>
        <v>нет</v>
      </c>
      <c r="BZ639" s="5" t="str">
        <f t="shared" si="850"/>
        <v>x</v>
      </c>
      <c r="CA639" s="5" t="str">
        <f t="shared" si="850"/>
        <v>x</v>
      </c>
      <c r="CB639" s="5" t="str">
        <f t="shared" si="850"/>
        <v>x</v>
      </c>
      <c r="CC639" s="5" t="str">
        <f>""</f>
        <v/>
      </c>
      <c r="CD639" s="5" t="str">
        <f>"45,00"</f>
        <v>45,00</v>
      </c>
      <c r="CE639" s="5" t="str">
        <f>"2022"</f>
        <v>2022</v>
      </c>
      <c r="CF639" s="5" t="str">
        <f>""</f>
        <v/>
      </c>
      <c r="CG639" s="5" t="str">
        <f>"30,00"</f>
        <v>30,00</v>
      </c>
      <c r="CH639" s="5" t="str">
        <f>"2025"</f>
        <v>2025</v>
      </c>
      <c r="CI639" s="5" t="str">
        <f>"65,00"</f>
        <v>65,00</v>
      </c>
      <c r="CJ639" s="5" t="str">
        <f>"2040"</f>
        <v>2040</v>
      </c>
    </row>
    <row r="640" spans="1:88" ht="11.25" customHeight="1">
      <c r="A640" s="3" t="str">
        <f>"1.627"</f>
        <v>1.627</v>
      </c>
      <c r="B640" s="4" t="str">
        <f>"с. Минькино, ул. Дачная, д.55"</f>
        <v>с. Минькино, ул. Дачная, д.55</v>
      </c>
      <c r="C640" s="7" t="str">
        <f>"1972"</f>
        <v>1972</v>
      </c>
      <c r="D640" s="5" t="str">
        <f>""</f>
        <v/>
      </c>
      <c r="E640" s="5" t="str">
        <f>"40,00"</f>
        <v>40,00</v>
      </c>
      <c r="F640" s="5" t="str">
        <f>"2032"</f>
        <v>2032</v>
      </c>
      <c r="G640" s="5" t="str">
        <f t="shared" ref="G640:G648" si="854">"да"</f>
        <v>да</v>
      </c>
      <c r="H640" s="5" t="str">
        <f>""</f>
        <v/>
      </c>
      <c r="I640" s="5" t="str">
        <f>"25,00"</f>
        <v>25,00</v>
      </c>
      <c r="J640" s="5" t="str">
        <f>"2032"</f>
        <v>2032</v>
      </c>
      <c r="K640" s="5" t="str">
        <f t="shared" ref="K640:K648" si="855">"да"</f>
        <v>да</v>
      </c>
      <c r="L640" s="5" t="str">
        <f>""</f>
        <v/>
      </c>
      <c r="M640" s="5" t="str">
        <f>"26,00"</f>
        <v>26,00</v>
      </c>
      <c r="N640" s="5" t="str">
        <f>"2032"</f>
        <v>2032</v>
      </c>
      <c r="O640" s="8" t="str">
        <f t="shared" ref="O640:AJ640" si="856">"х"</f>
        <v>х</v>
      </c>
      <c r="P640" s="5" t="str">
        <f t="shared" si="856"/>
        <v>х</v>
      </c>
      <c r="Q640" s="5" t="str">
        <f t="shared" si="856"/>
        <v>х</v>
      </c>
      <c r="R640" s="5" t="str">
        <f t="shared" si="856"/>
        <v>х</v>
      </c>
      <c r="S640" s="5" t="str">
        <f t="shared" si="856"/>
        <v>х</v>
      </c>
      <c r="T640" s="5" t="str">
        <f t="shared" si="856"/>
        <v>х</v>
      </c>
      <c r="U640" s="5" t="str">
        <f t="shared" si="856"/>
        <v>х</v>
      </c>
      <c r="V640" s="5" t="str">
        <f t="shared" si="856"/>
        <v>х</v>
      </c>
      <c r="W640" s="5" t="str">
        <f t="shared" si="856"/>
        <v>х</v>
      </c>
      <c r="X640" s="5" t="str">
        <f t="shared" si="856"/>
        <v>х</v>
      </c>
      <c r="Y640" s="9" t="str">
        <f t="shared" si="856"/>
        <v>х</v>
      </c>
      <c r="Z640" s="5" t="str">
        <f t="shared" si="856"/>
        <v>х</v>
      </c>
      <c r="AA640" s="5" t="str">
        <f t="shared" si="856"/>
        <v>х</v>
      </c>
      <c r="AB640" s="5" t="str">
        <f t="shared" si="856"/>
        <v>х</v>
      </c>
      <c r="AC640" s="5" t="str">
        <f t="shared" si="856"/>
        <v>х</v>
      </c>
      <c r="AD640" s="5" t="str">
        <f t="shared" si="856"/>
        <v>х</v>
      </c>
      <c r="AE640" s="5" t="str">
        <f t="shared" si="856"/>
        <v>х</v>
      </c>
      <c r="AF640" s="5" t="str">
        <f t="shared" si="856"/>
        <v>х</v>
      </c>
      <c r="AG640" s="5" t="str">
        <f t="shared" si="856"/>
        <v>х</v>
      </c>
      <c r="AH640" s="5" t="str">
        <f t="shared" si="856"/>
        <v>х</v>
      </c>
      <c r="AI640" s="5" t="str">
        <f t="shared" si="856"/>
        <v>х</v>
      </c>
      <c r="AJ640" s="5" t="str">
        <f t="shared" si="856"/>
        <v>х</v>
      </c>
      <c r="AK640" s="8" t="str">
        <f>""</f>
        <v/>
      </c>
      <c r="AL640" s="5" t="str">
        <f>"30,00"</f>
        <v>30,00</v>
      </c>
      <c r="AM640" s="5" t="str">
        <f>"2029"</f>
        <v>2029</v>
      </c>
      <c r="AN640" s="5" t="str">
        <f t="shared" ref="AN640:AN653" si="857">"нет"</f>
        <v>нет</v>
      </c>
      <c r="AO640" s="5" t="str">
        <f>""</f>
        <v/>
      </c>
      <c r="AP640" s="5" t="str">
        <f>""</f>
        <v/>
      </c>
      <c r="AQ640" s="5" t="str">
        <f>""</f>
        <v/>
      </c>
      <c r="AR640" s="5" t="str">
        <f t="shared" ref="AR640:AR653" si="858">"нет"</f>
        <v>нет</v>
      </c>
      <c r="AS640" s="5" t="str">
        <f>""</f>
        <v/>
      </c>
      <c r="AT640" s="5" t="str">
        <f>""</f>
        <v/>
      </c>
      <c r="AU640" s="5" t="str">
        <f>""</f>
        <v/>
      </c>
      <c r="AV640" s="5" t="str">
        <f t="shared" si="848"/>
        <v>х</v>
      </c>
      <c r="AW640" s="5" t="str">
        <f t="shared" si="848"/>
        <v>х</v>
      </c>
      <c r="AX640" s="5" t="str">
        <f t="shared" si="848"/>
        <v>х</v>
      </c>
      <c r="AY640" s="5" t="str">
        <f t="shared" si="848"/>
        <v>х</v>
      </c>
      <c r="AZ640" s="5" t="str">
        <f t="shared" si="848"/>
        <v>х</v>
      </c>
      <c r="BA640" s="5" t="str">
        <f t="shared" si="848"/>
        <v>х</v>
      </c>
      <c r="BB640" s="5" t="str">
        <f t="shared" si="848"/>
        <v>х</v>
      </c>
      <c r="BC640" s="5" t="str">
        <f t="shared" si="848"/>
        <v>х</v>
      </c>
      <c r="BD640" s="5" t="str">
        <f t="shared" si="848"/>
        <v>х</v>
      </c>
      <c r="BE640" s="5" t="str">
        <f t="shared" si="848"/>
        <v>х</v>
      </c>
      <c r="BF640" s="5" t="str">
        <f t="shared" si="848"/>
        <v>х</v>
      </c>
      <c r="BG640" s="5" t="str">
        <f t="shared" si="853"/>
        <v>х</v>
      </c>
      <c r="BH640" s="5" t="str">
        <f t="shared" si="853"/>
        <v>х</v>
      </c>
      <c r="BI640" s="5" t="str">
        <f t="shared" si="853"/>
        <v>х</v>
      </c>
      <c r="BJ640" s="5" t="str">
        <f t="shared" si="853"/>
        <v>х</v>
      </c>
      <c r="BK640" s="5" t="str">
        <f t="shared" si="853"/>
        <v>х</v>
      </c>
      <c r="BL640" s="5" t="str">
        <f t="shared" si="853"/>
        <v>х</v>
      </c>
      <c r="BM640" s="5" t="str">
        <f t="shared" si="853"/>
        <v>х</v>
      </c>
      <c r="BN640" s="5" t="str">
        <f t="shared" si="853"/>
        <v>х</v>
      </c>
      <c r="BO640" s="5" t="str">
        <f t="shared" si="853"/>
        <v>х</v>
      </c>
      <c r="BP640" s="5" t="str">
        <f t="shared" si="853"/>
        <v>х</v>
      </c>
      <c r="BQ640" s="5" t="str">
        <f t="shared" si="853"/>
        <v>х</v>
      </c>
      <c r="BR640" s="5" t="str">
        <f>""</f>
        <v/>
      </c>
      <c r="BS640" s="5" t="str">
        <f>"40,00"</f>
        <v>40,00</v>
      </c>
      <c r="BT640" s="5" t="str">
        <f>"2020"</f>
        <v>2020</v>
      </c>
      <c r="BU640" s="5" t="str">
        <f t="shared" si="834"/>
        <v>нет</v>
      </c>
      <c r="BV640" s="5" t="str">
        <f t="shared" ref="BV640:BX660" si="859">"x"</f>
        <v>x</v>
      </c>
      <c r="BW640" s="5" t="str">
        <f t="shared" si="859"/>
        <v>x</v>
      </c>
      <c r="BX640" s="5" t="str">
        <f t="shared" si="859"/>
        <v>x</v>
      </c>
      <c r="BY640" s="5" t="str">
        <f t="shared" si="849"/>
        <v>нет</v>
      </c>
      <c r="BZ640" s="5" t="str">
        <f t="shared" si="850"/>
        <v>x</v>
      </c>
      <c r="CA640" s="5" t="str">
        <f t="shared" si="850"/>
        <v>x</v>
      </c>
      <c r="CB640" s="5" t="str">
        <f t="shared" si="850"/>
        <v>x</v>
      </c>
      <c r="CC640" s="5" t="str">
        <f>""</f>
        <v/>
      </c>
      <c r="CD640" s="5" t="str">
        <f>"20,00"</f>
        <v>20,00</v>
      </c>
      <c r="CE640" s="5" t="str">
        <f>"2030"</f>
        <v>2030</v>
      </c>
      <c r="CF640" s="5" t="str">
        <f>""</f>
        <v/>
      </c>
      <c r="CG640" s="5" t="str">
        <f>"15,00"</f>
        <v>15,00</v>
      </c>
      <c r="CH640" s="5" t="str">
        <f>"2031"</f>
        <v>2031</v>
      </c>
      <c r="CI640" s="5" t="str">
        <f>"37,00"</f>
        <v>37,00</v>
      </c>
      <c r="CJ640" s="5" t="str">
        <f>"2042"</f>
        <v>2042</v>
      </c>
    </row>
    <row r="641" spans="1:88" ht="11.25" customHeight="1">
      <c r="A641" s="3" t="str">
        <f>"1.628"</f>
        <v>1.628</v>
      </c>
      <c r="B641" s="4" t="str">
        <f>"с. Минькино, ул. Новая, д.10"</f>
        <v>с. Минькино, ул. Новая, д.10</v>
      </c>
      <c r="C641" s="7" t="str">
        <f>"1986"</f>
        <v>1986</v>
      </c>
      <c r="D641" s="5" t="str">
        <f>""</f>
        <v/>
      </c>
      <c r="E641" s="5" t="str">
        <f>"30,00"</f>
        <v>30,00</v>
      </c>
      <c r="F641" s="5" t="str">
        <f>"2030"</f>
        <v>2030</v>
      </c>
      <c r="G641" s="5" t="str">
        <f t="shared" si="854"/>
        <v>да</v>
      </c>
      <c r="H641" s="5" t="str">
        <f>""</f>
        <v/>
      </c>
      <c r="I641" s="5" t="str">
        <f>"20,00"</f>
        <v>20,00</v>
      </c>
      <c r="J641" s="5" t="str">
        <f>"2030"</f>
        <v>2030</v>
      </c>
      <c r="K641" s="5" t="str">
        <f t="shared" si="855"/>
        <v>да</v>
      </c>
      <c r="L641" s="5" t="str">
        <f>""</f>
        <v/>
      </c>
      <c r="M641" s="5" t="str">
        <f>"20,00"</f>
        <v>20,00</v>
      </c>
      <c r="N641" s="5" t="str">
        <f>"2030"</f>
        <v>2030</v>
      </c>
      <c r="O641" s="8" t="str">
        <f>""</f>
        <v/>
      </c>
      <c r="P641" s="5" t="str">
        <f>"25,00"</f>
        <v>25,00</v>
      </c>
      <c r="Q641" s="5" t="str">
        <f>"2032"</f>
        <v>2032</v>
      </c>
      <c r="R641" s="5" t="str">
        <f t="shared" ref="R641:R648" si="860">"нет"</f>
        <v>нет</v>
      </c>
      <c r="S641" s="5" t="str">
        <f>""</f>
        <v/>
      </c>
      <c r="T641" s="5" t="str">
        <f>""</f>
        <v/>
      </c>
      <c r="U641" s="5" t="str">
        <f>""</f>
        <v/>
      </c>
      <c r="V641" s="5" t="str">
        <f t="shared" ref="V641:V648" si="861">"нет"</f>
        <v>нет</v>
      </c>
      <c r="W641" s="5" t="str">
        <f>""</f>
        <v/>
      </c>
      <c r="X641" s="5" t="str">
        <f>""</f>
        <v/>
      </c>
      <c r="Y641" s="9" t="str">
        <f>""</f>
        <v/>
      </c>
      <c r="Z641" s="5" t="str">
        <f>""</f>
        <v/>
      </c>
      <c r="AA641" s="5" t="str">
        <f>"15,00"</f>
        <v>15,00</v>
      </c>
      <c r="AB641" s="5" t="str">
        <f>"2036"</f>
        <v>2036</v>
      </c>
      <c r="AC641" s="5" t="str">
        <f>"нет"</f>
        <v>нет</v>
      </c>
      <c r="AD641" s="5" t="str">
        <f>""</f>
        <v/>
      </c>
      <c r="AE641" s="5" t="str">
        <f>""</f>
        <v/>
      </c>
      <c r="AF641" s="5" t="str">
        <f>""</f>
        <v/>
      </c>
      <c r="AG641" s="5" t="str">
        <f>"нет"</f>
        <v>нет</v>
      </c>
      <c r="AH641" s="5" t="str">
        <f>""</f>
        <v/>
      </c>
      <c r="AI641" s="5" t="str">
        <f>""</f>
        <v/>
      </c>
      <c r="AJ641" s="5" t="str">
        <f>""</f>
        <v/>
      </c>
      <c r="AK641" s="8" t="str">
        <f>""</f>
        <v/>
      </c>
      <c r="AL641" s="5" t="str">
        <f>"35,00"</f>
        <v>35,00</v>
      </c>
      <c r="AM641" s="5" t="str">
        <f>"2032"</f>
        <v>2032</v>
      </c>
      <c r="AN641" s="5" t="str">
        <f t="shared" si="857"/>
        <v>нет</v>
      </c>
      <c r="AO641" s="5" t="str">
        <f>""</f>
        <v/>
      </c>
      <c r="AP641" s="5" t="str">
        <f>""</f>
        <v/>
      </c>
      <c r="AQ641" s="5" t="str">
        <f>""</f>
        <v/>
      </c>
      <c r="AR641" s="5" t="str">
        <f t="shared" si="858"/>
        <v>нет</v>
      </c>
      <c r="AS641" s="5" t="str">
        <f>""</f>
        <v/>
      </c>
      <c r="AT641" s="5" t="str">
        <f>""</f>
        <v/>
      </c>
      <c r="AU641" s="5" t="str">
        <f>""</f>
        <v/>
      </c>
      <c r="AV641" s="5" t="str">
        <f>""</f>
        <v/>
      </c>
      <c r="AW641" s="5" t="str">
        <f>"35,00"</f>
        <v>35,00</v>
      </c>
      <c r="AX641" s="5" t="str">
        <f>"2034"</f>
        <v>2034</v>
      </c>
      <c r="AY641" s="5" t="str">
        <f>"нет"</f>
        <v>нет</v>
      </c>
      <c r="AZ641" s="5" t="str">
        <f>""</f>
        <v/>
      </c>
      <c r="BA641" s="5" t="str">
        <f>""</f>
        <v/>
      </c>
      <c r="BB641" s="5" t="str">
        <f>""</f>
        <v/>
      </c>
      <c r="BC641" s="5" t="str">
        <f>"нет"</f>
        <v>нет</v>
      </c>
      <c r="BD641" s="5" t="str">
        <f>""</f>
        <v/>
      </c>
      <c r="BE641" s="5" t="str">
        <f>""</f>
        <v/>
      </c>
      <c r="BF641" s="5" t="str">
        <f>""</f>
        <v/>
      </c>
      <c r="BG641" s="5" t="str">
        <f>""</f>
        <v/>
      </c>
      <c r="BH641" s="5" t="str">
        <f>"35,00"</f>
        <v>35,00</v>
      </c>
      <c r="BI641" s="5" t="str">
        <f>"2031"</f>
        <v>2031</v>
      </c>
      <c r="BJ641" s="5" t="str">
        <f t="shared" ref="BJ641:BJ648" si="862">"нет"</f>
        <v>нет</v>
      </c>
      <c r="BK641" s="5" t="str">
        <f>""</f>
        <v/>
      </c>
      <c r="BL641" s="5" t="str">
        <f>""</f>
        <v/>
      </c>
      <c r="BM641" s="5" t="str">
        <f>""</f>
        <v/>
      </c>
      <c r="BN641" s="5" t="str">
        <f t="shared" ref="BN641:BN648" si="863">"нет"</f>
        <v>нет</v>
      </c>
      <c r="BO641" s="5" t="str">
        <f>""</f>
        <v/>
      </c>
      <c r="BP641" s="5" t="str">
        <f>""</f>
        <v/>
      </c>
      <c r="BQ641" s="5" t="str">
        <f>""</f>
        <v/>
      </c>
      <c r="BR641" s="5" t="str">
        <f>"2009"</f>
        <v>2009</v>
      </c>
      <c r="BS641" s="5" t="str">
        <f>"31,00"</f>
        <v>31,00</v>
      </c>
      <c r="BT641" s="5" t="str">
        <f>"2024"</f>
        <v>2024</v>
      </c>
      <c r="BU641" s="5" t="str">
        <f t="shared" si="834"/>
        <v>нет</v>
      </c>
      <c r="BV641" s="5" t="str">
        <f t="shared" si="859"/>
        <v>x</v>
      </c>
      <c r="BW641" s="5" t="str">
        <f t="shared" si="859"/>
        <v>x</v>
      </c>
      <c r="BX641" s="5" t="str">
        <f t="shared" si="859"/>
        <v>x</v>
      </c>
      <c r="BY641" s="5" t="str">
        <f t="shared" si="849"/>
        <v>нет</v>
      </c>
      <c r="BZ641" s="5" t="str">
        <f t="shared" si="850"/>
        <v>x</v>
      </c>
      <c r="CA641" s="5" t="str">
        <f t="shared" si="850"/>
        <v>x</v>
      </c>
      <c r="CB641" s="5" t="str">
        <f t="shared" si="850"/>
        <v>x</v>
      </c>
      <c r="CC641" s="5" t="str">
        <f>""</f>
        <v/>
      </c>
      <c r="CD641" s="5" t="str">
        <f>"30,00"</f>
        <v>30,00</v>
      </c>
      <c r="CE641" s="5" t="str">
        <f>"2030"</f>
        <v>2030</v>
      </c>
      <c r="CF641" s="5" t="str">
        <f>""</f>
        <v/>
      </c>
      <c r="CG641" s="5" t="str">
        <f>"28,00"</f>
        <v>28,00</v>
      </c>
      <c r="CH641" s="5" t="str">
        <f>"2033"</f>
        <v>2033</v>
      </c>
      <c r="CI641" s="5" t="str">
        <f>"31,00"</f>
        <v>31,00</v>
      </c>
      <c r="CJ641" s="5" t="str">
        <f>"2043"</f>
        <v>2043</v>
      </c>
    </row>
    <row r="642" spans="1:88" ht="11.25" customHeight="1">
      <c r="A642" s="3" t="str">
        <f>"1.629"</f>
        <v>1.629</v>
      </c>
      <c r="B642" s="4" t="str">
        <f>"с. Минькино, ул. Новая, д.12"</f>
        <v>с. Минькино, ул. Новая, д.12</v>
      </c>
      <c r="C642" s="7" t="str">
        <f>"1991"</f>
        <v>1991</v>
      </c>
      <c r="D642" s="5" t="str">
        <f>""</f>
        <v/>
      </c>
      <c r="E642" s="5" t="str">
        <f>"40,00"</f>
        <v>40,00</v>
      </c>
      <c r="F642" s="5" t="str">
        <f>"2026"</f>
        <v>2026</v>
      </c>
      <c r="G642" s="5" t="str">
        <f t="shared" si="854"/>
        <v>да</v>
      </c>
      <c r="H642" s="5" t="str">
        <f>""</f>
        <v/>
      </c>
      <c r="I642" s="5" t="str">
        <f>"30,00"</f>
        <v>30,00</v>
      </c>
      <c r="J642" s="5" t="str">
        <f>"2026"</f>
        <v>2026</v>
      </c>
      <c r="K642" s="5" t="str">
        <f t="shared" si="855"/>
        <v>да</v>
      </c>
      <c r="L642" s="5" t="str">
        <f>""</f>
        <v/>
      </c>
      <c r="M642" s="5" t="str">
        <f>"60,00"</f>
        <v>60,00</v>
      </c>
      <c r="N642" s="5" t="str">
        <f>"2017"</f>
        <v>2017</v>
      </c>
      <c r="O642" s="8" t="str">
        <f>""</f>
        <v/>
      </c>
      <c r="P642" s="5" t="str">
        <f>"35,00"</f>
        <v>35,00</v>
      </c>
      <c r="Q642" s="5" t="str">
        <f>"2028"</f>
        <v>2028</v>
      </c>
      <c r="R642" s="5" t="str">
        <f t="shared" si="860"/>
        <v>нет</v>
      </c>
      <c r="S642" s="5" t="str">
        <f>""</f>
        <v/>
      </c>
      <c r="T642" s="5" t="str">
        <f>""</f>
        <v/>
      </c>
      <c r="U642" s="5" t="str">
        <f>""</f>
        <v/>
      </c>
      <c r="V642" s="5" t="str">
        <f t="shared" si="861"/>
        <v>нет</v>
      </c>
      <c r="W642" s="5" t="str">
        <f>""</f>
        <v/>
      </c>
      <c r="X642" s="5" t="str">
        <f>""</f>
        <v/>
      </c>
      <c r="Y642" s="9" t="str">
        <f>""</f>
        <v/>
      </c>
      <c r="Z642" s="5" t="str">
        <f>""</f>
        <v/>
      </c>
      <c r="AA642" s="5" t="str">
        <f>"20,00"</f>
        <v>20,00</v>
      </c>
      <c r="AB642" s="5" t="str">
        <f>"2031"</f>
        <v>2031</v>
      </c>
      <c r="AC642" s="5" t="str">
        <f>"нет"</f>
        <v>нет</v>
      </c>
      <c r="AD642" s="5" t="str">
        <f>""</f>
        <v/>
      </c>
      <c r="AE642" s="5" t="str">
        <f>""</f>
        <v/>
      </c>
      <c r="AF642" s="5" t="str">
        <f>""</f>
        <v/>
      </c>
      <c r="AG642" s="5" t="str">
        <f>"нет"</f>
        <v>нет</v>
      </c>
      <c r="AH642" s="5" t="str">
        <f>""</f>
        <v/>
      </c>
      <c r="AI642" s="5" t="str">
        <f>""</f>
        <v/>
      </c>
      <c r="AJ642" s="5" t="str">
        <f>""</f>
        <v/>
      </c>
      <c r="AK642" s="8" t="str">
        <f>""</f>
        <v/>
      </c>
      <c r="AL642" s="5" t="str">
        <f>"30,00"</f>
        <v>30,00</v>
      </c>
      <c r="AM642" s="5" t="str">
        <f>"2034"</f>
        <v>2034</v>
      </c>
      <c r="AN642" s="5" t="str">
        <f t="shared" si="857"/>
        <v>нет</v>
      </c>
      <c r="AO642" s="5" t="str">
        <f>""</f>
        <v/>
      </c>
      <c r="AP642" s="5" t="str">
        <f>""</f>
        <v/>
      </c>
      <c r="AQ642" s="5" t="str">
        <f>""</f>
        <v/>
      </c>
      <c r="AR642" s="5" t="str">
        <f t="shared" si="858"/>
        <v>нет</v>
      </c>
      <c r="AS642" s="5" t="str">
        <f>""</f>
        <v/>
      </c>
      <c r="AT642" s="5" t="str">
        <f>""</f>
        <v/>
      </c>
      <c r="AU642" s="5" t="str">
        <f>""</f>
        <v/>
      </c>
      <c r="AV642" s="5" t="str">
        <f>""</f>
        <v/>
      </c>
      <c r="AW642" s="5" t="str">
        <f>"30,00"</f>
        <v>30,00</v>
      </c>
      <c r="AX642" s="5" t="str">
        <f>"2035"</f>
        <v>2035</v>
      </c>
      <c r="AY642" s="5" t="str">
        <f>"нет"</f>
        <v>нет</v>
      </c>
      <c r="AZ642" s="5" t="str">
        <f>""</f>
        <v/>
      </c>
      <c r="BA642" s="5" t="str">
        <f>""</f>
        <v/>
      </c>
      <c r="BB642" s="5" t="str">
        <f>""</f>
        <v/>
      </c>
      <c r="BC642" s="5" t="str">
        <f>"нет"</f>
        <v>нет</v>
      </c>
      <c r="BD642" s="5" t="str">
        <f>""</f>
        <v/>
      </c>
      <c r="BE642" s="5" t="str">
        <f>""</f>
        <v/>
      </c>
      <c r="BF642" s="5" t="str">
        <f>""</f>
        <v/>
      </c>
      <c r="BG642" s="5" t="str">
        <f>""</f>
        <v/>
      </c>
      <c r="BH642" s="5" t="str">
        <f>"30,00"</f>
        <v>30,00</v>
      </c>
      <c r="BI642" s="5" t="str">
        <f>"2033"</f>
        <v>2033</v>
      </c>
      <c r="BJ642" s="5" t="str">
        <f t="shared" si="862"/>
        <v>нет</v>
      </c>
      <c r="BK642" s="5" t="str">
        <f>""</f>
        <v/>
      </c>
      <c r="BL642" s="5" t="str">
        <f>""</f>
        <v/>
      </c>
      <c r="BM642" s="5" t="str">
        <f>""</f>
        <v/>
      </c>
      <c r="BN642" s="5" t="str">
        <f t="shared" si="863"/>
        <v>нет</v>
      </c>
      <c r="BO642" s="5" t="str">
        <f>""</f>
        <v/>
      </c>
      <c r="BP642" s="5" t="str">
        <f>""</f>
        <v/>
      </c>
      <c r="BQ642" s="5" t="str">
        <f>""</f>
        <v/>
      </c>
      <c r="BR642" s="5" t="str">
        <f>""</f>
        <v/>
      </c>
      <c r="BS642" s="5" t="str">
        <f>"40,00"</f>
        <v>40,00</v>
      </c>
      <c r="BT642" s="5" t="str">
        <f>"2016"</f>
        <v>2016</v>
      </c>
      <c r="BU642" s="5" t="str">
        <f t="shared" si="834"/>
        <v>нет</v>
      </c>
      <c r="BV642" s="5" t="str">
        <f t="shared" si="859"/>
        <v>x</v>
      </c>
      <c r="BW642" s="5" t="str">
        <f t="shared" si="859"/>
        <v>x</v>
      </c>
      <c r="BX642" s="5" t="str">
        <f t="shared" si="859"/>
        <v>x</v>
      </c>
      <c r="BY642" s="5" t="str">
        <f t="shared" si="849"/>
        <v>нет</v>
      </c>
      <c r="BZ642" s="5" t="str">
        <f t="shared" si="850"/>
        <v>x</v>
      </c>
      <c r="CA642" s="5" t="str">
        <f t="shared" si="850"/>
        <v>x</v>
      </c>
      <c r="CB642" s="5" t="str">
        <f t="shared" si="850"/>
        <v>x</v>
      </c>
      <c r="CC642" s="5" t="str">
        <f>""</f>
        <v/>
      </c>
      <c r="CD642" s="5" t="str">
        <f>"25,00"</f>
        <v>25,00</v>
      </c>
      <c r="CE642" s="5" t="str">
        <f>"2032"</f>
        <v>2032</v>
      </c>
      <c r="CF642" s="5" t="str">
        <f>""</f>
        <v/>
      </c>
      <c r="CG642" s="5" t="str">
        <f>"20,00"</f>
        <v>20,00</v>
      </c>
      <c r="CH642" s="5" t="str">
        <f>"2033"</f>
        <v>2033</v>
      </c>
      <c r="CI642" s="5" t="str">
        <f>"41,00"</f>
        <v>41,00</v>
      </c>
      <c r="CJ642" s="5" t="str">
        <f>"2042"</f>
        <v>2042</v>
      </c>
    </row>
    <row r="643" spans="1:88" ht="11.25" customHeight="1">
      <c r="A643" s="3" t="str">
        <f>"1.630"</f>
        <v>1.630</v>
      </c>
      <c r="B643" s="4" t="str">
        <f>"с. Минькино, ул. Новая, д.13"</f>
        <v>с. Минькино, ул. Новая, д.13</v>
      </c>
      <c r="C643" s="7" t="str">
        <f>"1991"</f>
        <v>1991</v>
      </c>
      <c r="D643" s="5" t="str">
        <f>""</f>
        <v/>
      </c>
      <c r="E643" s="5" t="str">
        <f>"40,00"</f>
        <v>40,00</v>
      </c>
      <c r="F643" s="5" t="str">
        <f>"2030"</f>
        <v>2030</v>
      </c>
      <c r="G643" s="5" t="str">
        <f t="shared" si="854"/>
        <v>да</v>
      </c>
      <c r="H643" s="5" t="str">
        <f>""</f>
        <v/>
      </c>
      <c r="I643" s="5" t="str">
        <f>"30,00"</f>
        <v>30,00</v>
      </c>
      <c r="J643" s="5" t="str">
        <f>"2030"</f>
        <v>2030</v>
      </c>
      <c r="K643" s="5" t="str">
        <f t="shared" si="855"/>
        <v>да</v>
      </c>
      <c r="L643" s="5" t="str">
        <f>""</f>
        <v/>
      </c>
      <c r="M643" s="5" t="str">
        <f>"61,00"</f>
        <v>61,00</v>
      </c>
      <c r="N643" s="5" t="str">
        <f>"2016"</f>
        <v>2016</v>
      </c>
      <c r="O643" s="8" t="str">
        <f>""</f>
        <v/>
      </c>
      <c r="P643" s="5" t="str">
        <f>"30,00"</f>
        <v>30,00</v>
      </c>
      <c r="Q643" s="5" t="str">
        <f>"2032"</f>
        <v>2032</v>
      </c>
      <c r="R643" s="5" t="str">
        <f t="shared" si="860"/>
        <v>нет</v>
      </c>
      <c r="S643" s="5" t="str">
        <f>""</f>
        <v/>
      </c>
      <c r="T643" s="5" t="str">
        <f>""</f>
        <v/>
      </c>
      <c r="U643" s="5" t="str">
        <f>""</f>
        <v/>
      </c>
      <c r="V643" s="5" t="str">
        <f t="shared" si="861"/>
        <v>нет</v>
      </c>
      <c r="W643" s="5" t="str">
        <f>""</f>
        <v/>
      </c>
      <c r="X643" s="5" t="str">
        <f>""</f>
        <v/>
      </c>
      <c r="Y643" s="9" t="str">
        <f>""</f>
        <v/>
      </c>
      <c r="Z643" s="5" t="str">
        <f>""</f>
        <v/>
      </c>
      <c r="AA643" s="5" t="str">
        <f>"20,00"</f>
        <v>20,00</v>
      </c>
      <c r="AB643" s="5" t="str">
        <f>"2033"</f>
        <v>2033</v>
      </c>
      <c r="AC643" s="5" t="str">
        <f>"нет"</f>
        <v>нет</v>
      </c>
      <c r="AD643" s="5" t="str">
        <f>""</f>
        <v/>
      </c>
      <c r="AE643" s="5" t="str">
        <f>""</f>
        <v/>
      </c>
      <c r="AF643" s="5" t="str">
        <f>""</f>
        <v/>
      </c>
      <c r="AG643" s="5" t="str">
        <f>"нет"</f>
        <v>нет</v>
      </c>
      <c r="AH643" s="5" t="str">
        <f>""</f>
        <v/>
      </c>
      <c r="AI643" s="5" t="str">
        <f>""</f>
        <v/>
      </c>
      <c r="AJ643" s="5" t="str">
        <f>""</f>
        <v/>
      </c>
      <c r="AK643" s="8" t="str">
        <f>""</f>
        <v/>
      </c>
      <c r="AL643" s="5" t="str">
        <f>"35,00"</f>
        <v>35,00</v>
      </c>
      <c r="AM643" s="5" t="str">
        <f>"2031"</f>
        <v>2031</v>
      </c>
      <c r="AN643" s="5" t="str">
        <f t="shared" si="857"/>
        <v>нет</v>
      </c>
      <c r="AO643" s="5" t="str">
        <f>""</f>
        <v/>
      </c>
      <c r="AP643" s="5" t="str">
        <f>""</f>
        <v/>
      </c>
      <c r="AQ643" s="5" t="str">
        <f>""</f>
        <v/>
      </c>
      <c r="AR643" s="5" t="str">
        <f t="shared" si="858"/>
        <v>нет</v>
      </c>
      <c r="AS643" s="5" t="str">
        <f>""</f>
        <v/>
      </c>
      <c r="AT643" s="5" t="str">
        <f>""</f>
        <v/>
      </c>
      <c r="AU643" s="5" t="str">
        <f>""</f>
        <v/>
      </c>
      <c r="AV643" s="5" t="str">
        <f>""</f>
        <v/>
      </c>
      <c r="AW643" s="5" t="str">
        <f>"35,00"</f>
        <v>35,00</v>
      </c>
      <c r="AX643" s="5" t="str">
        <f>"2031"</f>
        <v>2031</v>
      </c>
      <c r="AY643" s="5" t="str">
        <f>"нет"</f>
        <v>нет</v>
      </c>
      <c r="AZ643" s="5" t="str">
        <f>""</f>
        <v/>
      </c>
      <c r="BA643" s="5" t="str">
        <f>""</f>
        <v/>
      </c>
      <c r="BB643" s="5" t="str">
        <f>""</f>
        <v/>
      </c>
      <c r="BC643" s="5" t="str">
        <f>"нет"</f>
        <v>нет</v>
      </c>
      <c r="BD643" s="5" t="str">
        <f>""</f>
        <v/>
      </c>
      <c r="BE643" s="5" t="str">
        <f>""</f>
        <v/>
      </c>
      <c r="BF643" s="5" t="str">
        <f>""</f>
        <v/>
      </c>
      <c r="BG643" s="5" t="str">
        <f>""</f>
        <v/>
      </c>
      <c r="BH643" s="5" t="str">
        <f>"35,00"</f>
        <v>35,00</v>
      </c>
      <c r="BI643" s="5" t="str">
        <f>"2032"</f>
        <v>2032</v>
      </c>
      <c r="BJ643" s="5" t="str">
        <f t="shared" si="862"/>
        <v>нет</v>
      </c>
      <c r="BK643" s="5" t="str">
        <f>""</f>
        <v/>
      </c>
      <c r="BL643" s="5" t="str">
        <f>""</f>
        <v/>
      </c>
      <c r="BM643" s="5" t="str">
        <f>""</f>
        <v/>
      </c>
      <c r="BN643" s="5" t="str">
        <f t="shared" si="863"/>
        <v>нет</v>
      </c>
      <c r="BO643" s="5" t="str">
        <f>""</f>
        <v/>
      </c>
      <c r="BP643" s="5" t="str">
        <f>""</f>
        <v/>
      </c>
      <c r="BQ643" s="5" t="str">
        <f>""</f>
        <v/>
      </c>
      <c r="BR643" s="5" t="str">
        <f>""</f>
        <v/>
      </c>
      <c r="BS643" s="5" t="str">
        <f>"41,00"</f>
        <v>41,00</v>
      </c>
      <c r="BT643" s="5" t="str">
        <f>"2017"</f>
        <v>2017</v>
      </c>
      <c r="BU643" s="5" t="str">
        <f t="shared" si="834"/>
        <v>нет</v>
      </c>
      <c r="BV643" s="5" t="str">
        <f t="shared" si="859"/>
        <v>x</v>
      </c>
      <c r="BW643" s="5" t="str">
        <f t="shared" si="859"/>
        <v>x</v>
      </c>
      <c r="BX643" s="5" t="str">
        <f t="shared" si="859"/>
        <v>x</v>
      </c>
      <c r="BY643" s="5" t="str">
        <f t="shared" si="849"/>
        <v>нет</v>
      </c>
      <c r="BZ643" s="5" t="str">
        <f t="shared" si="850"/>
        <v>x</v>
      </c>
      <c r="CA643" s="5" t="str">
        <f t="shared" si="850"/>
        <v>x</v>
      </c>
      <c r="CB643" s="5" t="str">
        <f t="shared" si="850"/>
        <v>x</v>
      </c>
      <c r="CC643" s="5" t="str">
        <f>""</f>
        <v/>
      </c>
      <c r="CD643" s="5" t="str">
        <f>"30,00"</f>
        <v>30,00</v>
      </c>
      <c r="CE643" s="5" t="str">
        <f>"2026"</f>
        <v>2026</v>
      </c>
      <c r="CF643" s="5" t="str">
        <f>""</f>
        <v/>
      </c>
      <c r="CG643" s="5" t="str">
        <f>"28,00"</f>
        <v>28,00</v>
      </c>
      <c r="CH643" s="5" t="str">
        <f>"2028"</f>
        <v>2028</v>
      </c>
      <c r="CI643" s="5" t="str">
        <f>"41,00"</f>
        <v>41,00</v>
      </c>
      <c r="CJ643" s="5" t="str">
        <f>"2043"</f>
        <v>2043</v>
      </c>
    </row>
    <row r="644" spans="1:88" ht="11.25" customHeight="1">
      <c r="A644" s="3" t="str">
        <f>"1.631"</f>
        <v>1.631</v>
      </c>
      <c r="B644" s="4" t="str">
        <f>"с. Минькино, ул. Новая, д.2"</f>
        <v>с. Минькино, ул. Новая, д.2</v>
      </c>
      <c r="C644" s="7" t="str">
        <f>"1967"</f>
        <v>1967</v>
      </c>
      <c r="D644" s="5" t="str">
        <f>""</f>
        <v/>
      </c>
      <c r="E644" s="5" t="str">
        <f>"55,00"</f>
        <v>55,00</v>
      </c>
      <c r="F644" s="5" t="str">
        <f>"2022"</f>
        <v>2022</v>
      </c>
      <c r="G644" s="5" t="str">
        <f t="shared" si="854"/>
        <v>да</v>
      </c>
      <c r="H644" s="5" t="str">
        <f>""</f>
        <v/>
      </c>
      <c r="I644" s="5" t="str">
        <f>"40,00"</f>
        <v>40,00</v>
      </c>
      <c r="J644" s="5" t="str">
        <f>"2022"</f>
        <v>2022</v>
      </c>
      <c r="K644" s="5" t="str">
        <f t="shared" si="855"/>
        <v>да</v>
      </c>
      <c r="L644" s="5" t="str">
        <f>""</f>
        <v/>
      </c>
      <c r="M644" s="5" t="str">
        <f>"56,00"</f>
        <v>56,00</v>
      </c>
      <c r="N644" s="5" t="str">
        <f>"2022"</f>
        <v>2022</v>
      </c>
      <c r="O644" s="8" t="str">
        <f>""</f>
        <v/>
      </c>
      <c r="P644" s="5" t="str">
        <f>"30,00"</f>
        <v>30,00</v>
      </c>
      <c r="Q644" s="5" t="str">
        <f>"2025"</f>
        <v>2025</v>
      </c>
      <c r="R644" s="5" t="str">
        <f t="shared" si="860"/>
        <v>нет</v>
      </c>
      <c r="S644" s="5" t="str">
        <f>""</f>
        <v/>
      </c>
      <c r="T644" s="5" t="str">
        <f>""</f>
        <v/>
      </c>
      <c r="U644" s="5" t="str">
        <f>""</f>
        <v/>
      </c>
      <c r="V644" s="5" t="str">
        <f t="shared" si="861"/>
        <v>нет</v>
      </c>
      <c r="W644" s="5" t="str">
        <f>""</f>
        <v/>
      </c>
      <c r="X644" s="5" t="str">
        <f>""</f>
        <v/>
      </c>
      <c r="Y644" s="9" t="str">
        <f>""</f>
        <v/>
      </c>
      <c r="Z644" s="5" t="str">
        <f t="shared" ref="Z644:AJ644" si="864">"х"</f>
        <v>х</v>
      </c>
      <c r="AA644" s="5" t="str">
        <f t="shared" si="864"/>
        <v>х</v>
      </c>
      <c r="AB644" s="5" t="str">
        <f t="shared" si="864"/>
        <v>х</v>
      </c>
      <c r="AC644" s="5" t="str">
        <f t="shared" si="864"/>
        <v>х</v>
      </c>
      <c r="AD644" s="5" t="str">
        <f t="shared" si="864"/>
        <v>х</v>
      </c>
      <c r="AE644" s="5" t="str">
        <f t="shared" si="864"/>
        <v>х</v>
      </c>
      <c r="AF644" s="5" t="str">
        <f t="shared" si="864"/>
        <v>х</v>
      </c>
      <c r="AG644" s="5" t="str">
        <f t="shared" si="864"/>
        <v>х</v>
      </c>
      <c r="AH644" s="5" t="str">
        <f t="shared" si="864"/>
        <v>х</v>
      </c>
      <c r="AI644" s="5" t="str">
        <f t="shared" si="864"/>
        <v>х</v>
      </c>
      <c r="AJ644" s="5" t="str">
        <f t="shared" si="864"/>
        <v>х</v>
      </c>
      <c r="AK644" s="8" t="str">
        <f>""</f>
        <v/>
      </c>
      <c r="AL644" s="5" t="str">
        <f>"25,00"</f>
        <v>25,00</v>
      </c>
      <c r="AM644" s="5" t="str">
        <f>"2027"</f>
        <v>2027</v>
      </c>
      <c r="AN644" s="5" t="str">
        <f t="shared" si="857"/>
        <v>нет</v>
      </c>
      <c r="AO644" s="5" t="str">
        <f>""</f>
        <v/>
      </c>
      <c r="AP644" s="5" t="str">
        <f>""</f>
        <v/>
      </c>
      <c r="AQ644" s="5" t="str">
        <f>""</f>
        <v/>
      </c>
      <c r="AR644" s="5" t="str">
        <f t="shared" si="858"/>
        <v>нет</v>
      </c>
      <c r="AS644" s="5" t="str">
        <f>""</f>
        <v/>
      </c>
      <c r="AT644" s="5" t="str">
        <f>""</f>
        <v/>
      </c>
      <c r="AU644" s="5" t="str">
        <f>""</f>
        <v/>
      </c>
      <c r="AV644" s="5" t="str">
        <f t="shared" ref="AV644:BF644" si="865">"х"</f>
        <v>х</v>
      </c>
      <c r="AW644" s="5" t="str">
        <f t="shared" si="865"/>
        <v>х</v>
      </c>
      <c r="AX644" s="5" t="str">
        <f t="shared" si="865"/>
        <v>х</v>
      </c>
      <c r="AY644" s="5" t="str">
        <f t="shared" si="865"/>
        <v>х</v>
      </c>
      <c r="AZ644" s="5" t="str">
        <f t="shared" si="865"/>
        <v>х</v>
      </c>
      <c r="BA644" s="5" t="str">
        <f t="shared" si="865"/>
        <v>х</v>
      </c>
      <c r="BB644" s="5" t="str">
        <f t="shared" si="865"/>
        <v>х</v>
      </c>
      <c r="BC644" s="5" t="str">
        <f t="shared" si="865"/>
        <v>х</v>
      </c>
      <c r="BD644" s="5" t="str">
        <f t="shared" si="865"/>
        <v>х</v>
      </c>
      <c r="BE644" s="5" t="str">
        <f t="shared" si="865"/>
        <v>х</v>
      </c>
      <c r="BF644" s="5" t="str">
        <f t="shared" si="865"/>
        <v>х</v>
      </c>
      <c r="BG644" s="5" t="str">
        <f>""</f>
        <v/>
      </c>
      <c r="BH644" s="5" t="str">
        <f>"30,00"</f>
        <v>30,00</v>
      </c>
      <c r="BI644" s="5" t="str">
        <f>"2024"</f>
        <v>2024</v>
      </c>
      <c r="BJ644" s="5" t="str">
        <f t="shared" si="862"/>
        <v>нет</v>
      </c>
      <c r="BK644" s="5" t="str">
        <f>""</f>
        <v/>
      </c>
      <c r="BL644" s="5" t="str">
        <f>""</f>
        <v/>
      </c>
      <c r="BM644" s="5" t="str">
        <f>""</f>
        <v/>
      </c>
      <c r="BN644" s="5" t="str">
        <f t="shared" si="863"/>
        <v>нет</v>
      </c>
      <c r="BO644" s="5" t="str">
        <f>""</f>
        <v/>
      </c>
      <c r="BP644" s="5" t="str">
        <f>""</f>
        <v/>
      </c>
      <c r="BQ644" s="5" t="str">
        <f>""</f>
        <v/>
      </c>
      <c r="BR644" s="5" t="str">
        <f>"2000"</f>
        <v>2000</v>
      </c>
      <c r="BS644" s="5" t="str">
        <f>"56,00"</f>
        <v>56,00</v>
      </c>
      <c r="BT644" s="5" t="str">
        <f>"2020"</f>
        <v>2020</v>
      </c>
      <c r="BU644" s="5" t="str">
        <f t="shared" si="834"/>
        <v>нет</v>
      </c>
      <c r="BV644" s="5" t="str">
        <f t="shared" si="859"/>
        <v>x</v>
      </c>
      <c r="BW644" s="5" t="str">
        <f t="shared" si="859"/>
        <v>x</v>
      </c>
      <c r="BX644" s="5" t="str">
        <f t="shared" si="859"/>
        <v>x</v>
      </c>
      <c r="BY644" s="5" t="str">
        <f t="shared" si="849"/>
        <v>нет</v>
      </c>
      <c r="BZ644" s="5" t="str">
        <f t="shared" si="850"/>
        <v>x</v>
      </c>
      <c r="CA644" s="5" t="str">
        <f t="shared" si="850"/>
        <v>x</v>
      </c>
      <c r="CB644" s="5" t="str">
        <f t="shared" si="850"/>
        <v>x</v>
      </c>
      <c r="CC644" s="5" t="str">
        <f>""</f>
        <v/>
      </c>
      <c r="CD644" s="5" t="str">
        <f>"20,00"</f>
        <v>20,00</v>
      </c>
      <c r="CE644" s="5" t="str">
        <f>"2030"</f>
        <v>2030</v>
      </c>
      <c r="CF644" s="5" t="str">
        <f>""</f>
        <v/>
      </c>
      <c r="CG644" s="5" t="str">
        <f>"20,00"</f>
        <v>20,00</v>
      </c>
      <c r="CH644" s="5" t="str">
        <f>"2031"</f>
        <v>2031</v>
      </c>
      <c r="CI644" s="5" t="str">
        <f>"56,00"</f>
        <v>56,00</v>
      </c>
      <c r="CJ644" s="5" t="str">
        <f>"2040"</f>
        <v>2040</v>
      </c>
    </row>
    <row r="645" spans="1:88" ht="11.25" customHeight="1">
      <c r="A645" s="3" t="str">
        <f>"1.632"</f>
        <v>1.632</v>
      </c>
      <c r="B645" s="4" t="str">
        <f>"с. Минькино, ул. Новая, д.4"</f>
        <v>с. Минькино, ул. Новая, д.4</v>
      </c>
      <c r="C645" s="7" t="str">
        <f>"1999"</f>
        <v>1999</v>
      </c>
      <c r="D645" s="5" t="str">
        <f>""</f>
        <v/>
      </c>
      <c r="E645" s="5" t="str">
        <f>"45,00"</f>
        <v>45,00</v>
      </c>
      <c r="F645" s="5" t="str">
        <f>"2025"</f>
        <v>2025</v>
      </c>
      <c r="G645" s="5" t="str">
        <f t="shared" si="854"/>
        <v>да</v>
      </c>
      <c r="H645" s="5" t="str">
        <f>""</f>
        <v/>
      </c>
      <c r="I645" s="5" t="str">
        <f>"30,00"</f>
        <v>30,00</v>
      </c>
      <c r="J645" s="5" t="str">
        <f>"2025"</f>
        <v>2025</v>
      </c>
      <c r="K645" s="5" t="str">
        <f t="shared" si="855"/>
        <v>да</v>
      </c>
      <c r="L645" s="5" t="str">
        <f>""</f>
        <v/>
      </c>
      <c r="M645" s="5" t="str">
        <f>"66,00"</f>
        <v>66,00</v>
      </c>
      <c r="N645" s="5" t="str">
        <f>"2020"</f>
        <v>2020</v>
      </c>
      <c r="O645" s="8" t="str">
        <f>""</f>
        <v/>
      </c>
      <c r="P645" s="5" t="str">
        <f>"40,00"</f>
        <v>40,00</v>
      </c>
      <c r="Q645" s="5" t="str">
        <f>"2027"</f>
        <v>2027</v>
      </c>
      <c r="R645" s="5" t="str">
        <f t="shared" si="860"/>
        <v>нет</v>
      </c>
      <c r="S645" s="5" t="str">
        <f>""</f>
        <v/>
      </c>
      <c r="T645" s="5" t="str">
        <f>""</f>
        <v/>
      </c>
      <c r="U645" s="5" t="str">
        <f>""</f>
        <v/>
      </c>
      <c r="V645" s="5" t="str">
        <f t="shared" si="861"/>
        <v>нет</v>
      </c>
      <c r="W645" s="5" t="str">
        <f>""</f>
        <v/>
      </c>
      <c r="X645" s="5" t="str">
        <f>""</f>
        <v/>
      </c>
      <c r="Y645" s="9" t="str">
        <f>""</f>
        <v/>
      </c>
      <c r="Z645" s="5" t="str">
        <f>""</f>
        <v/>
      </c>
      <c r="AA645" s="5" t="str">
        <f>"25,00"</f>
        <v>25,00</v>
      </c>
      <c r="AB645" s="5" t="str">
        <f>"2028"</f>
        <v>2028</v>
      </c>
      <c r="AC645" s="5" t="str">
        <f>"нет"</f>
        <v>нет</v>
      </c>
      <c r="AD645" s="5" t="str">
        <f>""</f>
        <v/>
      </c>
      <c r="AE645" s="5" t="str">
        <f>""</f>
        <v/>
      </c>
      <c r="AF645" s="5" t="str">
        <f>""</f>
        <v/>
      </c>
      <c r="AG645" s="5" t="str">
        <f>"нет"</f>
        <v>нет</v>
      </c>
      <c r="AH645" s="5" t="str">
        <f>""</f>
        <v/>
      </c>
      <c r="AI645" s="5" t="str">
        <f>""</f>
        <v/>
      </c>
      <c r="AJ645" s="5" t="str">
        <f>""</f>
        <v/>
      </c>
      <c r="AK645" s="8" t="str">
        <f>""</f>
        <v/>
      </c>
      <c r="AL645" s="5" t="str">
        <f>"30,00"</f>
        <v>30,00</v>
      </c>
      <c r="AM645" s="5" t="str">
        <f>"2026"</f>
        <v>2026</v>
      </c>
      <c r="AN645" s="5" t="str">
        <f t="shared" si="857"/>
        <v>нет</v>
      </c>
      <c r="AO645" s="5" t="str">
        <f>""</f>
        <v/>
      </c>
      <c r="AP645" s="5" t="str">
        <f>""</f>
        <v/>
      </c>
      <c r="AQ645" s="5" t="str">
        <f>""</f>
        <v/>
      </c>
      <c r="AR645" s="5" t="str">
        <f t="shared" si="858"/>
        <v>нет</v>
      </c>
      <c r="AS645" s="5" t="str">
        <f>""</f>
        <v/>
      </c>
      <c r="AT645" s="5" t="str">
        <f>""</f>
        <v/>
      </c>
      <c r="AU645" s="5" t="str">
        <f>""</f>
        <v/>
      </c>
      <c r="AV645" s="5" t="str">
        <f>""</f>
        <v/>
      </c>
      <c r="AW645" s="5" t="str">
        <f>"30,00"</f>
        <v>30,00</v>
      </c>
      <c r="AX645" s="5" t="str">
        <f>"2026"</f>
        <v>2026</v>
      </c>
      <c r="AY645" s="5" t="str">
        <f>"нет"</f>
        <v>нет</v>
      </c>
      <c r="AZ645" s="5" t="str">
        <f>""</f>
        <v/>
      </c>
      <c r="BA645" s="5" t="str">
        <f>""</f>
        <v/>
      </c>
      <c r="BB645" s="5" t="str">
        <f>""</f>
        <v/>
      </c>
      <c r="BC645" s="5" t="str">
        <f>"нет"</f>
        <v>нет</v>
      </c>
      <c r="BD645" s="5" t="str">
        <f>""</f>
        <v/>
      </c>
      <c r="BE645" s="5" t="str">
        <f>""</f>
        <v/>
      </c>
      <c r="BF645" s="5" t="str">
        <f>""</f>
        <v/>
      </c>
      <c r="BG645" s="5" t="str">
        <f>""</f>
        <v/>
      </c>
      <c r="BH645" s="5" t="str">
        <f>"28,00"</f>
        <v>28,00</v>
      </c>
      <c r="BI645" s="5" t="str">
        <f>"2027"</f>
        <v>2027</v>
      </c>
      <c r="BJ645" s="5" t="str">
        <f t="shared" si="862"/>
        <v>нет</v>
      </c>
      <c r="BK645" s="5" t="str">
        <f>""</f>
        <v/>
      </c>
      <c r="BL645" s="5" t="str">
        <f>""</f>
        <v/>
      </c>
      <c r="BM645" s="5" t="str">
        <f>""</f>
        <v/>
      </c>
      <c r="BN645" s="5" t="str">
        <f t="shared" si="863"/>
        <v>нет</v>
      </c>
      <c r="BO645" s="5" t="str">
        <f>""</f>
        <v/>
      </c>
      <c r="BP645" s="5" t="str">
        <f>""</f>
        <v/>
      </c>
      <c r="BQ645" s="5" t="str">
        <f>""</f>
        <v/>
      </c>
      <c r="BR645" s="5" t="str">
        <f>""</f>
        <v/>
      </c>
      <c r="BS645" s="5" t="str">
        <f>"46,00"</f>
        <v>46,00</v>
      </c>
      <c r="BT645" s="5" t="str">
        <f>"2018"</f>
        <v>2018</v>
      </c>
      <c r="BU645" s="5" t="str">
        <f t="shared" si="834"/>
        <v>нет</v>
      </c>
      <c r="BV645" s="5" t="str">
        <f t="shared" si="859"/>
        <v>x</v>
      </c>
      <c r="BW645" s="5" t="str">
        <f t="shared" si="859"/>
        <v>x</v>
      </c>
      <c r="BX645" s="5" t="str">
        <f t="shared" si="859"/>
        <v>x</v>
      </c>
      <c r="BY645" s="5" t="str">
        <f t="shared" si="849"/>
        <v>нет</v>
      </c>
      <c r="BZ645" s="5" t="str">
        <f t="shared" si="850"/>
        <v>x</v>
      </c>
      <c r="CA645" s="5" t="str">
        <f t="shared" si="850"/>
        <v>x</v>
      </c>
      <c r="CB645" s="5" t="str">
        <f t="shared" si="850"/>
        <v>x</v>
      </c>
      <c r="CC645" s="5" t="str">
        <f>""</f>
        <v/>
      </c>
      <c r="CD645" s="5" t="str">
        <f>"20,00"</f>
        <v>20,00</v>
      </c>
      <c r="CE645" s="5" t="str">
        <f>"2035"</f>
        <v>2035</v>
      </c>
      <c r="CF645" s="5" t="str">
        <f>""</f>
        <v/>
      </c>
      <c r="CG645" s="5" t="str">
        <f>"20,00"</f>
        <v>20,00</v>
      </c>
      <c r="CH645" s="5" t="str">
        <f>"2036"</f>
        <v>2036</v>
      </c>
      <c r="CI645" s="5" t="str">
        <f>"46,00"</f>
        <v>46,00</v>
      </c>
      <c r="CJ645" s="5" t="str">
        <f>"2041"</f>
        <v>2041</v>
      </c>
    </row>
    <row r="646" spans="1:88" ht="11.25" customHeight="1">
      <c r="A646" s="3" t="str">
        <f>"1.633"</f>
        <v>1.633</v>
      </c>
      <c r="B646" s="4" t="str">
        <f>"с. Минькино, ул. Новая, д.5"</f>
        <v>с. Минькино, ул. Новая, д.5</v>
      </c>
      <c r="C646" s="7" t="str">
        <f>"1988"</f>
        <v>1988</v>
      </c>
      <c r="D646" s="5" t="str">
        <f>""</f>
        <v/>
      </c>
      <c r="E646" s="5" t="str">
        <f>"40,00"</f>
        <v>40,00</v>
      </c>
      <c r="F646" s="5" t="str">
        <f>"2024"</f>
        <v>2024</v>
      </c>
      <c r="G646" s="5" t="str">
        <f t="shared" si="854"/>
        <v>да</v>
      </c>
      <c r="H646" s="5" t="str">
        <f>""</f>
        <v/>
      </c>
      <c r="I646" s="5" t="str">
        <f>"30,00"</f>
        <v>30,00</v>
      </c>
      <c r="J646" s="5" t="str">
        <f>"2024"</f>
        <v>2024</v>
      </c>
      <c r="K646" s="5" t="str">
        <f t="shared" si="855"/>
        <v>да</v>
      </c>
      <c r="L646" s="5" t="str">
        <f>""</f>
        <v/>
      </c>
      <c r="M646" s="5" t="str">
        <f>"61,00"</f>
        <v>61,00</v>
      </c>
      <c r="N646" s="5" t="str">
        <f>"2020"</f>
        <v>2020</v>
      </c>
      <c r="O646" s="8" t="str">
        <f>""</f>
        <v/>
      </c>
      <c r="P646" s="5" t="str">
        <f>"40,00"</f>
        <v>40,00</v>
      </c>
      <c r="Q646" s="5" t="str">
        <f>"2026"</f>
        <v>2026</v>
      </c>
      <c r="R646" s="5" t="str">
        <f t="shared" si="860"/>
        <v>нет</v>
      </c>
      <c r="S646" s="5" t="str">
        <f>""</f>
        <v/>
      </c>
      <c r="T646" s="5" t="str">
        <f>""</f>
        <v/>
      </c>
      <c r="U646" s="5" t="str">
        <f>""</f>
        <v/>
      </c>
      <c r="V646" s="5" t="str">
        <f t="shared" si="861"/>
        <v>нет</v>
      </c>
      <c r="W646" s="5" t="str">
        <f>""</f>
        <v/>
      </c>
      <c r="X646" s="5" t="str">
        <f>""</f>
        <v/>
      </c>
      <c r="Y646" s="9" t="str">
        <f>""</f>
        <v/>
      </c>
      <c r="Z646" s="5" t="str">
        <f>""</f>
        <v/>
      </c>
      <c r="AA646" s="5" t="str">
        <f>"25,00"</f>
        <v>25,00</v>
      </c>
      <c r="AB646" s="5" t="str">
        <f>"2029"</f>
        <v>2029</v>
      </c>
      <c r="AC646" s="5" t="str">
        <f>"нет"</f>
        <v>нет</v>
      </c>
      <c r="AD646" s="5" t="str">
        <f>""</f>
        <v/>
      </c>
      <c r="AE646" s="5" t="str">
        <f>""</f>
        <v/>
      </c>
      <c r="AF646" s="5" t="str">
        <f>""</f>
        <v/>
      </c>
      <c r="AG646" s="5" t="str">
        <f>"нет"</f>
        <v>нет</v>
      </c>
      <c r="AH646" s="5" t="str">
        <f>""</f>
        <v/>
      </c>
      <c r="AI646" s="5" t="str">
        <f>""</f>
        <v/>
      </c>
      <c r="AJ646" s="5" t="str">
        <f>""</f>
        <v/>
      </c>
      <c r="AK646" s="8" t="str">
        <f>""</f>
        <v/>
      </c>
      <c r="AL646" s="5" t="str">
        <f>"30,00"</f>
        <v>30,00</v>
      </c>
      <c r="AM646" s="5" t="str">
        <f>"2028"</f>
        <v>2028</v>
      </c>
      <c r="AN646" s="5" t="str">
        <f t="shared" si="857"/>
        <v>нет</v>
      </c>
      <c r="AO646" s="5" t="str">
        <f>""</f>
        <v/>
      </c>
      <c r="AP646" s="5" t="str">
        <f>""</f>
        <v/>
      </c>
      <c r="AQ646" s="5" t="str">
        <f>""</f>
        <v/>
      </c>
      <c r="AR646" s="5" t="str">
        <f t="shared" si="858"/>
        <v>нет</v>
      </c>
      <c r="AS646" s="5" t="str">
        <f>""</f>
        <v/>
      </c>
      <c r="AT646" s="5" t="str">
        <f>""</f>
        <v/>
      </c>
      <c r="AU646" s="5" t="str">
        <f>""</f>
        <v/>
      </c>
      <c r="AV646" s="5" t="str">
        <f>""</f>
        <v/>
      </c>
      <c r="AW646" s="5" t="str">
        <f>"30,00"</f>
        <v>30,00</v>
      </c>
      <c r="AX646" s="5" t="str">
        <f>"2028"</f>
        <v>2028</v>
      </c>
      <c r="AY646" s="5" t="str">
        <f>"нет"</f>
        <v>нет</v>
      </c>
      <c r="AZ646" s="5" t="str">
        <f>""</f>
        <v/>
      </c>
      <c r="BA646" s="5" t="str">
        <f>""</f>
        <v/>
      </c>
      <c r="BB646" s="5" t="str">
        <f>""</f>
        <v/>
      </c>
      <c r="BC646" s="5" t="str">
        <f>"нет"</f>
        <v>нет</v>
      </c>
      <c r="BD646" s="5" t="str">
        <f>""</f>
        <v/>
      </c>
      <c r="BE646" s="5" t="str">
        <f>""</f>
        <v/>
      </c>
      <c r="BF646" s="5" t="str">
        <f>""</f>
        <v/>
      </c>
      <c r="BG646" s="5" t="str">
        <f>""</f>
        <v/>
      </c>
      <c r="BH646" s="5" t="str">
        <f>"35,00"</f>
        <v>35,00</v>
      </c>
      <c r="BI646" s="5" t="str">
        <f>"2030"</f>
        <v>2030</v>
      </c>
      <c r="BJ646" s="5" t="str">
        <f t="shared" si="862"/>
        <v>нет</v>
      </c>
      <c r="BK646" s="5" t="str">
        <f>""</f>
        <v/>
      </c>
      <c r="BL646" s="5" t="str">
        <f>""</f>
        <v/>
      </c>
      <c r="BM646" s="5" t="str">
        <f>""</f>
        <v/>
      </c>
      <c r="BN646" s="5" t="str">
        <f t="shared" si="863"/>
        <v>нет</v>
      </c>
      <c r="BO646" s="5" t="str">
        <f>""</f>
        <v/>
      </c>
      <c r="BP646" s="5" t="str">
        <f>""</f>
        <v/>
      </c>
      <c r="BQ646" s="5" t="str">
        <f>""</f>
        <v/>
      </c>
      <c r="BR646" s="5" t="str">
        <f>""</f>
        <v/>
      </c>
      <c r="BS646" s="5" t="str">
        <f>"41,00"</f>
        <v>41,00</v>
      </c>
      <c r="BT646" s="5" t="str">
        <f>"2017"</f>
        <v>2017</v>
      </c>
      <c r="BU646" s="5" t="str">
        <f t="shared" si="834"/>
        <v>нет</v>
      </c>
      <c r="BV646" s="5" t="str">
        <f t="shared" si="859"/>
        <v>x</v>
      </c>
      <c r="BW646" s="5" t="str">
        <f t="shared" si="859"/>
        <v>x</v>
      </c>
      <c r="BX646" s="5" t="str">
        <f t="shared" si="859"/>
        <v>x</v>
      </c>
      <c r="BY646" s="5" t="str">
        <f t="shared" si="849"/>
        <v>нет</v>
      </c>
      <c r="BZ646" s="5" t="str">
        <f t="shared" si="850"/>
        <v>x</v>
      </c>
      <c r="CA646" s="5" t="str">
        <f t="shared" si="850"/>
        <v>x</v>
      </c>
      <c r="CB646" s="5" t="str">
        <f t="shared" si="850"/>
        <v>x</v>
      </c>
      <c r="CC646" s="5" t="str">
        <f>""</f>
        <v/>
      </c>
      <c r="CD646" s="5" t="str">
        <f>"30,00"</f>
        <v>30,00</v>
      </c>
      <c r="CE646" s="5" t="str">
        <f>"2029"</f>
        <v>2029</v>
      </c>
      <c r="CF646" s="5" t="str">
        <f>""</f>
        <v/>
      </c>
      <c r="CG646" s="5" t="str">
        <f>"30,00"</f>
        <v>30,00</v>
      </c>
      <c r="CH646" s="5" t="str">
        <f>"2031"</f>
        <v>2031</v>
      </c>
      <c r="CI646" s="5" t="str">
        <f>"41,00"</f>
        <v>41,00</v>
      </c>
      <c r="CJ646" s="5" t="str">
        <f>"2042"</f>
        <v>2042</v>
      </c>
    </row>
    <row r="647" spans="1:88" ht="11.25" customHeight="1">
      <c r="A647" s="3" t="str">
        <f>"1.634"</f>
        <v>1.634</v>
      </c>
      <c r="B647" s="4" t="str">
        <f>"с. Минькино, ул. Новая, д.6"</f>
        <v>с. Минькино, ул. Новая, д.6</v>
      </c>
      <c r="C647" s="7" t="str">
        <f>"1983"</f>
        <v>1983</v>
      </c>
      <c r="D647" s="5" t="str">
        <f>""</f>
        <v/>
      </c>
      <c r="E647" s="5" t="str">
        <f>"50,00"</f>
        <v>50,00</v>
      </c>
      <c r="F647" s="5" t="str">
        <f>"2025"</f>
        <v>2025</v>
      </c>
      <c r="G647" s="5" t="str">
        <f t="shared" si="854"/>
        <v>да</v>
      </c>
      <c r="H647" s="5" t="str">
        <f>""</f>
        <v/>
      </c>
      <c r="I647" s="5" t="str">
        <f>"35,00"</f>
        <v>35,00</v>
      </c>
      <c r="J647" s="5" t="str">
        <f>"2025"</f>
        <v>2025</v>
      </c>
      <c r="K647" s="5" t="str">
        <f t="shared" si="855"/>
        <v>да</v>
      </c>
      <c r="L647" s="5" t="str">
        <f>""</f>
        <v/>
      </c>
      <c r="M647" s="5" t="str">
        <f>"52,00"</f>
        <v>52,00</v>
      </c>
      <c r="N647" s="5" t="str">
        <f>"2018"</f>
        <v>2018</v>
      </c>
      <c r="O647" s="8" t="str">
        <f>""</f>
        <v/>
      </c>
      <c r="P647" s="5" t="str">
        <f>"45,00"</f>
        <v>45,00</v>
      </c>
      <c r="Q647" s="5" t="str">
        <f>"2027"</f>
        <v>2027</v>
      </c>
      <c r="R647" s="5" t="str">
        <f t="shared" si="860"/>
        <v>нет</v>
      </c>
      <c r="S647" s="5" t="str">
        <f>""</f>
        <v/>
      </c>
      <c r="T647" s="5" t="str">
        <f>""</f>
        <v/>
      </c>
      <c r="U647" s="5" t="str">
        <f>""</f>
        <v/>
      </c>
      <c r="V647" s="5" t="str">
        <f t="shared" si="861"/>
        <v>нет</v>
      </c>
      <c r="W647" s="5" t="str">
        <f>""</f>
        <v/>
      </c>
      <c r="X647" s="5" t="str">
        <f>""</f>
        <v/>
      </c>
      <c r="Y647" s="9" t="str">
        <f>""</f>
        <v/>
      </c>
      <c r="Z647" s="5" t="str">
        <f>""</f>
        <v/>
      </c>
      <c r="AA647" s="5" t="str">
        <f>"20,00"</f>
        <v>20,00</v>
      </c>
      <c r="AB647" s="5" t="str">
        <f>"2030"</f>
        <v>2030</v>
      </c>
      <c r="AC647" s="5" t="str">
        <f>"нет"</f>
        <v>нет</v>
      </c>
      <c r="AD647" s="5" t="str">
        <f>""</f>
        <v/>
      </c>
      <c r="AE647" s="5" t="str">
        <f>""</f>
        <v/>
      </c>
      <c r="AF647" s="5" t="str">
        <f>""</f>
        <v/>
      </c>
      <c r="AG647" s="5" t="str">
        <f>"нет"</f>
        <v>нет</v>
      </c>
      <c r="AH647" s="5" t="str">
        <f>""</f>
        <v/>
      </c>
      <c r="AI647" s="5" t="str">
        <f>""</f>
        <v/>
      </c>
      <c r="AJ647" s="5" t="str">
        <f>""</f>
        <v/>
      </c>
      <c r="AK647" s="8" t="str">
        <f>""</f>
        <v/>
      </c>
      <c r="AL647" s="5" t="str">
        <f>"35,00"</f>
        <v>35,00</v>
      </c>
      <c r="AM647" s="5" t="str">
        <f>"2029"</f>
        <v>2029</v>
      </c>
      <c r="AN647" s="5" t="str">
        <f t="shared" si="857"/>
        <v>нет</v>
      </c>
      <c r="AO647" s="5" t="str">
        <f>""</f>
        <v/>
      </c>
      <c r="AP647" s="5" t="str">
        <f>""</f>
        <v/>
      </c>
      <c r="AQ647" s="5" t="str">
        <f>""</f>
        <v/>
      </c>
      <c r="AR647" s="5" t="str">
        <f t="shared" si="858"/>
        <v>нет</v>
      </c>
      <c r="AS647" s="5" t="str">
        <f>""</f>
        <v/>
      </c>
      <c r="AT647" s="5" t="str">
        <f>""</f>
        <v/>
      </c>
      <c r="AU647" s="5" t="str">
        <f>""</f>
        <v/>
      </c>
      <c r="AV647" s="5" t="str">
        <f t="shared" ref="AV647:BF650" si="866">"х"</f>
        <v>х</v>
      </c>
      <c r="AW647" s="5" t="str">
        <f t="shared" si="866"/>
        <v>х</v>
      </c>
      <c r="AX647" s="5" t="str">
        <f t="shared" si="866"/>
        <v>х</v>
      </c>
      <c r="AY647" s="5" t="str">
        <f t="shared" si="866"/>
        <v>х</v>
      </c>
      <c r="AZ647" s="5" t="str">
        <f t="shared" si="866"/>
        <v>х</v>
      </c>
      <c r="BA647" s="5" t="str">
        <f t="shared" si="866"/>
        <v>х</v>
      </c>
      <c r="BB647" s="5" t="str">
        <f t="shared" si="866"/>
        <v>х</v>
      </c>
      <c r="BC647" s="5" t="str">
        <f t="shared" si="866"/>
        <v>х</v>
      </c>
      <c r="BD647" s="5" t="str">
        <f t="shared" si="866"/>
        <v>х</v>
      </c>
      <c r="BE647" s="5" t="str">
        <f t="shared" si="866"/>
        <v>х</v>
      </c>
      <c r="BF647" s="5" t="str">
        <f t="shared" si="866"/>
        <v>х</v>
      </c>
      <c r="BG647" s="5" t="str">
        <f>""</f>
        <v/>
      </c>
      <c r="BH647" s="5" t="str">
        <f>"35,00"</f>
        <v>35,00</v>
      </c>
      <c r="BI647" s="5" t="str">
        <f>"2029"</f>
        <v>2029</v>
      </c>
      <c r="BJ647" s="5" t="str">
        <f t="shared" si="862"/>
        <v>нет</v>
      </c>
      <c r="BK647" s="5" t="str">
        <f>""</f>
        <v/>
      </c>
      <c r="BL647" s="5" t="str">
        <f>""</f>
        <v/>
      </c>
      <c r="BM647" s="5" t="str">
        <f>""</f>
        <v/>
      </c>
      <c r="BN647" s="5" t="str">
        <f t="shared" si="863"/>
        <v>нет</v>
      </c>
      <c r="BO647" s="5" t="str">
        <f>""</f>
        <v/>
      </c>
      <c r="BP647" s="5" t="str">
        <f>""</f>
        <v/>
      </c>
      <c r="BQ647" s="5" t="str">
        <f>""</f>
        <v/>
      </c>
      <c r="BR647" s="5" t="str">
        <f>"2007"</f>
        <v>2007</v>
      </c>
      <c r="BS647" s="5" t="str">
        <f>"52,00"</f>
        <v>52,00</v>
      </c>
      <c r="BT647" s="5" t="str">
        <f>"2020"</f>
        <v>2020</v>
      </c>
      <c r="BU647" s="5" t="str">
        <f t="shared" si="834"/>
        <v>нет</v>
      </c>
      <c r="BV647" s="5" t="str">
        <f t="shared" si="859"/>
        <v>x</v>
      </c>
      <c r="BW647" s="5" t="str">
        <f t="shared" si="859"/>
        <v>x</v>
      </c>
      <c r="BX647" s="5" t="str">
        <f t="shared" si="859"/>
        <v>x</v>
      </c>
      <c r="BY647" s="5" t="str">
        <f t="shared" si="849"/>
        <v>нет</v>
      </c>
      <c r="BZ647" s="5" t="str">
        <f t="shared" si="850"/>
        <v>x</v>
      </c>
      <c r="CA647" s="5" t="str">
        <f t="shared" si="850"/>
        <v>x</v>
      </c>
      <c r="CB647" s="5" t="str">
        <f t="shared" si="850"/>
        <v>x</v>
      </c>
      <c r="CC647" s="5" t="str">
        <f>""</f>
        <v/>
      </c>
      <c r="CD647" s="5" t="str">
        <f>"30,00"</f>
        <v>30,00</v>
      </c>
      <c r="CE647" s="5" t="str">
        <f>"2032"</f>
        <v>2032</v>
      </c>
      <c r="CF647" s="5" t="str">
        <f>""</f>
        <v/>
      </c>
      <c r="CG647" s="5" t="str">
        <f>"20,00"</f>
        <v>20,00</v>
      </c>
      <c r="CH647" s="5" t="str">
        <f>"2033"</f>
        <v>2033</v>
      </c>
      <c r="CI647" s="5" t="str">
        <f>"52,00"</f>
        <v>52,00</v>
      </c>
      <c r="CJ647" s="5" t="str">
        <f>"2041"</f>
        <v>2041</v>
      </c>
    </row>
    <row r="648" spans="1:88" ht="11.25" customHeight="1">
      <c r="A648" s="3" t="str">
        <f>"1.635"</f>
        <v>1.635</v>
      </c>
      <c r="B648" s="4" t="str">
        <f>"с. Минькино, ул. Новая, д.8"</f>
        <v>с. Минькино, ул. Новая, д.8</v>
      </c>
      <c r="C648" s="7" t="str">
        <f>"1983"</f>
        <v>1983</v>
      </c>
      <c r="D648" s="5" t="str">
        <f>""</f>
        <v/>
      </c>
      <c r="E648" s="5" t="str">
        <f>"50,00"</f>
        <v>50,00</v>
      </c>
      <c r="F648" s="5" t="str">
        <f>"2020"</f>
        <v>2020</v>
      </c>
      <c r="G648" s="5" t="str">
        <f t="shared" si="854"/>
        <v>да</v>
      </c>
      <c r="H648" s="5" t="str">
        <f>""</f>
        <v/>
      </c>
      <c r="I648" s="5" t="str">
        <f>"45,00"</f>
        <v>45,00</v>
      </c>
      <c r="J648" s="5" t="str">
        <f>"2020"</f>
        <v>2020</v>
      </c>
      <c r="K648" s="5" t="str">
        <f t="shared" si="855"/>
        <v>да</v>
      </c>
      <c r="L648" s="5" t="str">
        <f>""</f>
        <v/>
      </c>
      <c r="M648" s="5" t="str">
        <f>"52,00"</f>
        <v>52,00</v>
      </c>
      <c r="N648" s="5" t="str">
        <f>"2018"</f>
        <v>2018</v>
      </c>
      <c r="O648" s="8" t="str">
        <f>""</f>
        <v/>
      </c>
      <c r="P648" s="5" t="str">
        <f>"35,00"</f>
        <v>35,00</v>
      </c>
      <c r="Q648" s="5" t="str">
        <f>"2023"</f>
        <v>2023</v>
      </c>
      <c r="R648" s="5" t="str">
        <f t="shared" si="860"/>
        <v>нет</v>
      </c>
      <c r="S648" s="5" t="str">
        <f>""</f>
        <v/>
      </c>
      <c r="T648" s="5" t="str">
        <f>""</f>
        <v/>
      </c>
      <c r="U648" s="5" t="str">
        <f>""</f>
        <v/>
      </c>
      <c r="V648" s="5" t="str">
        <f t="shared" si="861"/>
        <v>нет</v>
      </c>
      <c r="W648" s="5" t="str">
        <f>""</f>
        <v/>
      </c>
      <c r="X648" s="5" t="str">
        <f>""</f>
        <v/>
      </c>
      <c r="Y648" s="9" t="str">
        <f>""</f>
        <v/>
      </c>
      <c r="Z648" s="5" t="str">
        <f>""</f>
        <v/>
      </c>
      <c r="AA648" s="5" t="str">
        <f>"25,00"</f>
        <v>25,00</v>
      </c>
      <c r="AB648" s="5" t="str">
        <f>"2027"</f>
        <v>2027</v>
      </c>
      <c r="AC648" s="5" t="str">
        <f>"нет"</f>
        <v>нет</v>
      </c>
      <c r="AD648" s="5" t="str">
        <f>""</f>
        <v/>
      </c>
      <c r="AE648" s="5" t="str">
        <f>""</f>
        <v/>
      </c>
      <c r="AF648" s="5" t="str">
        <f>""</f>
        <v/>
      </c>
      <c r="AG648" s="5" t="str">
        <f>"нет"</f>
        <v>нет</v>
      </c>
      <c r="AH648" s="5" t="str">
        <f>""</f>
        <v/>
      </c>
      <c r="AI648" s="5" t="str">
        <f>""</f>
        <v/>
      </c>
      <c r="AJ648" s="5" t="str">
        <f>""</f>
        <v/>
      </c>
      <c r="AK648" s="8" t="str">
        <f>""</f>
        <v/>
      </c>
      <c r="AL648" s="5" t="str">
        <f>"30,00"</f>
        <v>30,00</v>
      </c>
      <c r="AM648" s="5" t="str">
        <f>"2026"</f>
        <v>2026</v>
      </c>
      <c r="AN648" s="5" t="str">
        <f t="shared" si="857"/>
        <v>нет</v>
      </c>
      <c r="AO648" s="5" t="str">
        <f>""</f>
        <v/>
      </c>
      <c r="AP648" s="5" t="str">
        <f>""</f>
        <v/>
      </c>
      <c r="AQ648" s="5" t="str">
        <f>""</f>
        <v/>
      </c>
      <c r="AR648" s="5" t="str">
        <f t="shared" si="858"/>
        <v>нет</v>
      </c>
      <c r="AS648" s="5" t="str">
        <f>""</f>
        <v/>
      </c>
      <c r="AT648" s="5" t="str">
        <f>""</f>
        <v/>
      </c>
      <c r="AU648" s="5" t="str">
        <f>""</f>
        <v/>
      </c>
      <c r="AV648" s="5" t="str">
        <f t="shared" si="866"/>
        <v>х</v>
      </c>
      <c r="AW648" s="5" t="str">
        <f t="shared" si="866"/>
        <v>х</v>
      </c>
      <c r="AX648" s="5" t="str">
        <f t="shared" si="866"/>
        <v>х</v>
      </c>
      <c r="AY648" s="5" t="str">
        <f t="shared" si="866"/>
        <v>х</v>
      </c>
      <c r="AZ648" s="5" t="str">
        <f t="shared" si="866"/>
        <v>х</v>
      </c>
      <c r="BA648" s="5" t="str">
        <f t="shared" si="866"/>
        <v>х</v>
      </c>
      <c r="BB648" s="5" t="str">
        <f t="shared" si="866"/>
        <v>х</v>
      </c>
      <c r="BC648" s="5" t="str">
        <f t="shared" si="866"/>
        <v>х</v>
      </c>
      <c r="BD648" s="5" t="str">
        <f t="shared" si="866"/>
        <v>х</v>
      </c>
      <c r="BE648" s="5" t="str">
        <f t="shared" si="866"/>
        <v>х</v>
      </c>
      <c r="BF648" s="5" t="str">
        <f t="shared" si="866"/>
        <v>х</v>
      </c>
      <c r="BG648" s="5" t="str">
        <f>""</f>
        <v/>
      </c>
      <c r="BH648" s="5" t="str">
        <f>"30,00"</f>
        <v>30,00</v>
      </c>
      <c r="BI648" s="5" t="str">
        <f>"2026"</f>
        <v>2026</v>
      </c>
      <c r="BJ648" s="5" t="str">
        <f t="shared" si="862"/>
        <v>нет</v>
      </c>
      <c r="BK648" s="5" t="str">
        <f>""</f>
        <v/>
      </c>
      <c r="BL648" s="5" t="str">
        <f>""</f>
        <v/>
      </c>
      <c r="BM648" s="5" t="str">
        <f>""</f>
        <v/>
      </c>
      <c r="BN648" s="5" t="str">
        <f t="shared" si="863"/>
        <v>нет</v>
      </c>
      <c r="BO648" s="5" t="str">
        <f>""</f>
        <v/>
      </c>
      <c r="BP648" s="5" t="str">
        <f>""</f>
        <v/>
      </c>
      <c r="BQ648" s="5" t="str">
        <f>""</f>
        <v/>
      </c>
      <c r="BR648" s="5" t="str">
        <f>"2008"</f>
        <v>2008</v>
      </c>
      <c r="BS648" s="5" t="str">
        <f>"52,00"</f>
        <v>52,00</v>
      </c>
      <c r="BT648" s="5" t="str">
        <f>"2020"</f>
        <v>2020</v>
      </c>
      <c r="BU648" s="5" t="str">
        <f t="shared" si="834"/>
        <v>нет</v>
      </c>
      <c r="BV648" s="5" t="str">
        <f t="shared" si="859"/>
        <v>x</v>
      </c>
      <c r="BW648" s="5" t="str">
        <f t="shared" si="859"/>
        <v>x</v>
      </c>
      <c r="BX648" s="5" t="str">
        <f t="shared" si="859"/>
        <v>x</v>
      </c>
      <c r="BY648" s="5" t="str">
        <f t="shared" si="849"/>
        <v>нет</v>
      </c>
      <c r="BZ648" s="5" t="str">
        <f t="shared" si="850"/>
        <v>x</v>
      </c>
      <c r="CA648" s="5" t="str">
        <f t="shared" si="850"/>
        <v>x</v>
      </c>
      <c r="CB648" s="5" t="str">
        <f t="shared" si="850"/>
        <v>x</v>
      </c>
      <c r="CC648" s="5" t="str">
        <f>""</f>
        <v/>
      </c>
      <c r="CD648" s="5" t="str">
        <f>"15,00"</f>
        <v>15,00</v>
      </c>
      <c r="CE648" s="5" t="str">
        <f>"2030"</f>
        <v>2030</v>
      </c>
      <c r="CF648" s="5" t="str">
        <f>""</f>
        <v/>
      </c>
      <c r="CG648" s="5" t="str">
        <f>"20,00"</f>
        <v>20,00</v>
      </c>
      <c r="CH648" s="5" t="str">
        <f>"2031"</f>
        <v>2031</v>
      </c>
      <c r="CI648" s="5" t="str">
        <f>"52,00"</f>
        <v>52,00</v>
      </c>
      <c r="CJ648" s="5" t="str">
        <f>"2042"</f>
        <v>2042</v>
      </c>
    </row>
    <row r="649" spans="1:88" ht="11.25" customHeight="1">
      <c r="A649" s="3" t="str">
        <f>"1.636"</f>
        <v>1.636</v>
      </c>
      <c r="B649" s="4" t="str">
        <f>"с. Сидорово, ул. Кооперативная, д.23"</f>
        <v>с. Сидорово, ул. Кооперативная, д.23</v>
      </c>
      <c r="C649" s="7" t="str">
        <f>"1975"</f>
        <v>1975</v>
      </c>
      <c r="D649" s="5" t="str">
        <f>""</f>
        <v/>
      </c>
      <c r="E649" s="5" t="str">
        <f>"56,00"</f>
        <v>56,00</v>
      </c>
      <c r="F649" s="5" t="str">
        <f>"2018"</f>
        <v>2018</v>
      </c>
      <c r="G649" s="5" t="str">
        <f t="shared" ref="G649:G654" si="867">"нет"</f>
        <v>нет</v>
      </c>
      <c r="H649" s="5" t="str">
        <f>""</f>
        <v/>
      </c>
      <c r="I649" s="5" t="str">
        <f>""</f>
        <v/>
      </c>
      <c r="J649" s="5" t="str">
        <f>""</f>
        <v/>
      </c>
      <c r="K649" s="5" t="str">
        <f t="shared" ref="K649:K654" si="868">"нет"</f>
        <v>нет</v>
      </c>
      <c r="L649" s="5" t="str">
        <f>""</f>
        <v/>
      </c>
      <c r="M649" s="5" t="str">
        <f>""</f>
        <v/>
      </c>
      <c r="N649" s="5" t="str">
        <f>""</f>
        <v/>
      </c>
      <c r="O649" s="8" t="str">
        <f>""</f>
        <v/>
      </c>
      <c r="P649" s="5" t="str">
        <f>""</f>
        <v/>
      </c>
      <c r="Q649" s="5" t="str">
        <f>""</f>
        <v/>
      </c>
      <c r="R649" s="5" t="str">
        <f>""</f>
        <v/>
      </c>
      <c r="S649" s="5" t="str">
        <f>""</f>
        <v/>
      </c>
      <c r="T649" s="5" t="str">
        <f>""</f>
        <v/>
      </c>
      <c r="U649" s="5" t="str">
        <f>""</f>
        <v/>
      </c>
      <c r="V649" s="5" t="str">
        <f>""</f>
        <v/>
      </c>
      <c r="W649" s="5" t="str">
        <f>""</f>
        <v/>
      </c>
      <c r="X649" s="5" t="str">
        <f>""</f>
        <v/>
      </c>
      <c r="Y649" s="9" t="str">
        <f>""</f>
        <v/>
      </c>
      <c r="Z649" s="5" t="str">
        <f t="shared" ref="Z649:AL650" si="869">"х"</f>
        <v>х</v>
      </c>
      <c r="AA649" s="5" t="str">
        <f t="shared" si="869"/>
        <v>х</v>
      </c>
      <c r="AB649" s="5" t="str">
        <f t="shared" si="869"/>
        <v>х</v>
      </c>
      <c r="AC649" s="5" t="str">
        <f t="shared" si="869"/>
        <v>х</v>
      </c>
      <c r="AD649" s="5" t="str">
        <f t="shared" si="869"/>
        <v>х</v>
      </c>
      <c r="AE649" s="5" t="str">
        <f t="shared" si="869"/>
        <v>х</v>
      </c>
      <c r="AF649" s="5" t="str">
        <f t="shared" si="869"/>
        <v>х</v>
      </c>
      <c r="AG649" s="5" t="str">
        <f t="shared" si="869"/>
        <v>х</v>
      </c>
      <c r="AH649" s="5" t="str">
        <f t="shared" si="869"/>
        <v>х</v>
      </c>
      <c r="AI649" s="5" t="str">
        <f t="shared" si="869"/>
        <v>х</v>
      </c>
      <c r="AJ649" s="5" t="str">
        <f t="shared" si="869"/>
        <v>х</v>
      </c>
      <c r="AK649" s="8" t="str">
        <f t="shared" si="869"/>
        <v>х</v>
      </c>
      <c r="AL649" s="5" t="str">
        <f t="shared" si="869"/>
        <v>х</v>
      </c>
      <c r="AM649" s="5" t="str">
        <f>"2016"</f>
        <v>2016</v>
      </c>
      <c r="AN649" s="5" t="str">
        <f t="shared" si="857"/>
        <v>нет</v>
      </c>
      <c r="AO649" s="5" t="str">
        <f t="shared" ref="AO649:AQ650" si="870">"х"</f>
        <v>х</v>
      </c>
      <c r="AP649" s="5" t="str">
        <f t="shared" si="870"/>
        <v>х</v>
      </c>
      <c r="AQ649" s="5" t="str">
        <f t="shared" si="870"/>
        <v>х</v>
      </c>
      <c r="AR649" s="5" t="str">
        <f t="shared" si="858"/>
        <v>нет</v>
      </c>
      <c r="AS649" s="5" t="str">
        <f t="shared" ref="AS649:AU650" si="871">"х"</f>
        <v>х</v>
      </c>
      <c r="AT649" s="5" t="str">
        <f t="shared" si="871"/>
        <v>х</v>
      </c>
      <c r="AU649" s="5" t="str">
        <f t="shared" si="871"/>
        <v>х</v>
      </c>
      <c r="AV649" s="5" t="str">
        <f t="shared" si="866"/>
        <v>х</v>
      </c>
      <c r="AW649" s="5" t="str">
        <f t="shared" si="866"/>
        <v>х</v>
      </c>
      <c r="AX649" s="5" t="str">
        <f t="shared" si="866"/>
        <v>х</v>
      </c>
      <c r="AY649" s="5" t="str">
        <f t="shared" si="866"/>
        <v>х</v>
      </c>
      <c r="AZ649" s="5" t="str">
        <f t="shared" si="866"/>
        <v>х</v>
      </c>
      <c r="BA649" s="5" t="str">
        <f t="shared" si="866"/>
        <v>х</v>
      </c>
      <c r="BB649" s="5" t="str">
        <f t="shared" si="866"/>
        <v>х</v>
      </c>
      <c r="BC649" s="5" t="str">
        <f t="shared" si="866"/>
        <v>х</v>
      </c>
      <c r="BD649" s="5" t="str">
        <f t="shared" si="866"/>
        <v>х</v>
      </c>
      <c r="BE649" s="5" t="str">
        <f t="shared" si="866"/>
        <v>х</v>
      </c>
      <c r="BF649" s="5" t="str">
        <f t="shared" si="866"/>
        <v>х</v>
      </c>
      <c r="BG649" s="5" t="str">
        <f t="shared" ref="BG649:BQ650" si="872">"х"</f>
        <v>х</v>
      </c>
      <c r="BH649" s="5" t="str">
        <f t="shared" si="872"/>
        <v>х</v>
      </c>
      <c r="BI649" s="5" t="str">
        <f t="shared" si="872"/>
        <v>х</v>
      </c>
      <c r="BJ649" s="5" t="str">
        <f t="shared" si="872"/>
        <v>х</v>
      </c>
      <c r="BK649" s="5" t="str">
        <f t="shared" si="872"/>
        <v>х</v>
      </c>
      <c r="BL649" s="5" t="str">
        <f t="shared" si="872"/>
        <v>х</v>
      </c>
      <c r="BM649" s="5" t="str">
        <f t="shared" si="872"/>
        <v>х</v>
      </c>
      <c r="BN649" s="5" t="str">
        <f t="shared" si="872"/>
        <v>х</v>
      </c>
      <c r="BO649" s="5" t="str">
        <f t="shared" si="872"/>
        <v>х</v>
      </c>
      <c r="BP649" s="5" t="str">
        <f t="shared" si="872"/>
        <v>х</v>
      </c>
      <c r="BQ649" s="5" t="str">
        <f t="shared" si="872"/>
        <v>х</v>
      </c>
      <c r="BR649" s="5" t="str">
        <f>""</f>
        <v/>
      </c>
      <c r="BS649" s="5" t="str">
        <f>"54,00"</f>
        <v>54,00</v>
      </c>
      <c r="BT649" s="5" t="str">
        <f>"2016"</f>
        <v>2016</v>
      </c>
      <c r="BU649" s="5" t="str">
        <f t="shared" si="834"/>
        <v>нет</v>
      </c>
      <c r="BV649" s="5" t="str">
        <f t="shared" si="859"/>
        <v>x</v>
      </c>
      <c r="BW649" s="5" t="str">
        <f t="shared" si="859"/>
        <v>x</v>
      </c>
      <c r="BX649" s="5" t="str">
        <f t="shared" si="859"/>
        <v>x</v>
      </c>
      <c r="BY649" s="5" t="str">
        <f t="shared" si="849"/>
        <v>нет</v>
      </c>
      <c r="BZ649" s="5" t="str">
        <f t="shared" si="850"/>
        <v>x</v>
      </c>
      <c r="CA649" s="5" t="str">
        <f t="shared" si="850"/>
        <v>x</v>
      </c>
      <c r="CB649" s="5" t="str">
        <f t="shared" si="850"/>
        <v>x</v>
      </c>
      <c r="CC649" s="5" t="str">
        <f>""</f>
        <v/>
      </c>
      <c r="CD649" s="5" t="str">
        <f>"45,00"</f>
        <v>45,00</v>
      </c>
      <c r="CE649" s="5" t="str">
        <f>"2016"</f>
        <v>2016</v>
      </c>
      <c r="CF649" s="5" t="str">
        <f>""</f>
        <v/>
      </c>
      <c r="CG649" s="5" t="str">
        <f>"52,00"</f>
        <v>52,00</v>
      </c>
      <c r="CH649" s="5" t="str">
        <f>"2016"</f>
        <v>2016</v>
      </c>
      <c r="CI649" s="5" t="str">
        <f>"72,00"</f>
        <v>72,00</v>
      </c>
      <c r="CJ649" s="5" t="str">
        <f>"2016"</f>
        <v>2016</v>
      </c>
    </row>
    <row r="650" spans="1:88" ht="11.25" customHeight="1">
      <c r="A650" s="3" t="str">
        <f>"1.637"</f>
        <v>1.637</v>
      </c>
      <c r="B650" s="4" t="str">
        <f>"с. Сидорово, ул. Советская, д.1"</f>
        <v>с. Сидорово, ул. Советская, д.1</v>
      </c>
      <c r="C650" s="7" t="str">
        <f>"1969"</f>
        <v>1969</v>
      </c>
      <c r="D650" s="5" t="str">
        <f>""</f>
        <v/>
      </c>
      <c r="E650" s="5" t="str">
        <f>"50,00"</f>
        <v>50,00</v>
      </c>
      <c r="F650" s="5" t="str">
        <f>"2020"</f>
        <v>2020</v>
      </c>
      <c r="G650" s="5" t="str">
        <f t="shared" si="867"/>
        <v>нет</v>
      </c>
      <c r="H650" s="5" t="str">
        <f>""</f>
        <v/>
      </c>
      <c r="I650" s="5" t="str">
        <f>""</f>
        <v/>
      </c>
      <c r="J650" s="5" t="str">
        <f>""</f>
        <v/>
      </c>
      <c r="K650" s="5" t="str">
        <f t="shared" si="868"/>
        <v>нет</v>
      </c>
      <c r="L650" s="5" t="str">
        <f>""</f>
        <v/>
      </c>
      <c r="M650" s="5" t="str">
        <f>""</f>
        <v/>
      </c>
      <c r="N650" s="5" t="str">
        <f>""</f>
        <v/>
      </c>
      <c r="O650" s="8" t="str">
        <f>""</f>
        <v/>
      </c>
      <c r="P650" s="5" t="str">
        <f>""</f>
        <v/>
      </c>
      <c r="Q650" s="5" t="str">
        <f>""</f>
        <v/>
      </c>
      <c r="R650" s="5" t="str">
        <f>""</f>
        <v/>
      </c>
      <c r="S650" s="5" t="str">
        <f>""</f>
        <v/>
      </c>
      <c r="T650" s="5" t="str">
        <f>""</f>
        <v/>
      </c>
      <c r="U650" s="5" t="str">
        <f>""</f>
        <v/>
      </c>
      <c r="V650" s="5" t="str">
        <f>""</f>
        <v/>
      </c>
      <c r="W650" s="5" t="str">
        <f>""</f>
        <v/>
      </c>
      <c r="X650" s="5" t="str">
        <f>""</f>
        <v/>
      </c>
      <c r="Y650" s="9" t="str">
        <f>""</f>
        <v/>
      </c>
      <c r="Z650" s="5" t="str">
        <f t="shared" si="869"/>
        <v>х</v>
      </c>
      <c r="AA650" s="5" t="str">
        <f t="shared" si="869"/>
        <v>х</v>
      </c>
      <c r="AB650" s="5" t="str">
        <f t="shared" si="869"/>
        <v>х</v>
      </c>
      <c r="AC650" s="5" t="str">
        <f t="shared" si="869"/>
        <v>х</v>
      </c>
      <c r="AD650" s="5" t="str">
        <f t="shared" si="869"/>
        <v>х</v>
      </c>
      <c r="AE650" s="5" t="str">
        <f t="shared" si="869"/>
        <v>х</v>
      </c>
      <c r="AF650" s="5" t="str">
        <f t="shared" si="869"/>
        <v>х</v>
      </c>
      <c r="AG650" s="5" t="str">
        <f t="shared" si="869"/>
        <v>х</v>
      </c>
      <c r="AH650" s="5" t="str">
        <f t="shared" si="869"/>
        <v>х</v>
      </c>
      <c r="AI650" s="5" t="str">
        <f t="shared" si="869"/>
        <v>х</v>
      </c>
      <c r="AJ650" s="5" t="str">
        <f t="shared" si="869"/>
        <v>х</v>
      </c>
      <c r="AK650" s="8" t="str">
        <f t="shared" si="869"/>
        <v>х</v>
      </c>
      <c r="AL650" s="5" t="str">
        <f t="shared" si="869"/>
        <v>х</v>
      </c>
      <c r="AM650" s="5" t="str">
        <f>"х"</f>
        <v>х</v>
      </c>
      <c r="AN650" s="5" t="str">
        <f t="shared" si="857"/>
        <v>нет</v>
      </c>
      <c r="AO650" s="5" t="str">
        <f t="shared" si="870"/>
        <v>х</v>
      </c>
      <c r="AP650" s="5" t="str">
        <f t="shared" si="870"/>
        <v>х</v>
      </c>
      <c r="AQ650" s="5" t="str">
        <f t="shared" si="870"/>
        <v>х</v>
      </c>
      <c r="AR650" s="5" t="str">
        <f t="shared" si="858"/>
        <v>нет</v>
      </c>
      <c r="AS650" s="5" t="str">
        <f t="shared" si="871"/>
        <v>х</v>
      </c>
      <c r="AT650" s="5" t="str">
        <f t="shared" si="871"/>
        <v>х</v>
      </c>
      <c r="AU650" s="5" t="str">
        <f t="shared" si="871"/>
        <v>х</v>
      </c>
      <c r="AV650" s="5" t="str">
        <f t="shared" si="866"/>
        <v>х</v>
      </c>
      <c r="AW650" s="5" t="str">
        <f t="shared" si="866"/>
        <v>х</v>
      </c>
      <c r="AX650" s="5" t="str">
        <f t="shared" si="866"/>
        <v>х</v>
      </c>
      <c r="AY650" s="5" t="str">
        <f t="shared" si="866"/>
        <v>х</v>
      </c>
      <c r="AZ650" s="5" t="str">
        <f t="shared" si="866"/>
        <v>х</v>
      </c>
      <c r="BA650" s="5" t="str">
        <f t="shared" si="866"/>
        <v>х</v>
      </c>
      <c r="BB650" s="5" t="str">
        <f t="shared" si="866"/>
        <v>х</v>
      </c>
      <c r="BC650" s="5" t="str">
        <f t="shared" si="866"/>
        <v>х</v>
      </c>
      <c r="BD650" s="5" t="str">
        <f t="shared" si="866"/>
        <v>х</v>
      </c>
      <c r="BE650" s="5" t="str">
        <f t="shared" si="866"/>
        <v>х</v>
      </c>
      <c r="BF650" s="5" t="str">
        <f t="shared" si="866"/>
        <v>х</v>
      </c>
      <c r="BG650" s="5" t="str">
        <f t="shared" si="872"/>
        <v>х</v>
      </c>
      <c r="BH650" s="5" t="str">
        <f t="shared" si="872"/>
        <v>х</v>
      </c>
      <c r="BI650" s="5" t="str">
        <f t="shared" si="872"/>
        <v>х</v>
      </c>
      <c r="BJ650" s="5" t="str">
        <f t="shared" si="872"/>
        <v>х</v>
      </c>
      <c r="BK650" s="5" t="str">
        <f t="shared" si="872"/>
        <v>х</v>
      </c>
      <c r="BL650" s="5" t="str">
        <f t="shared" si="872"/>
        <v>х</v>
      </c>
      <c r="BM650" s="5" t="str">
        <f t="shared" si="872"/>
        <v>х</v>
      </c>
      <c r="BN650" s="5" t="str">
        <f t="shared" si="872"/>
        <v>х</v>
      </c>
      <c r="BO650" s="5" t="str">
        <f t="shared" si="872"/>
        <v>х</v>
      </c>
      <c r="BP650" s="5" t="str">
        <f t="shared" si="872"/>
        <v>х</v>
      </c>
      <c r="BQ650" s="5" t="str">
        <f t="shared" si="872"/>
        <v>х</v>
      </c>
      <c r="BR650" s="5" t="str">
        <f>"2013"</f>
        <v>2013</v>
      </c>
      <c r="BS650" s="5" t="str">
        <f>"45,00"</f>
        <v>45,00</v>
      </c>
      <c r="BT650" s="5" t="str">
        <f>"2033"</f>
        <v>2033</v>
      </c>
      <c r="BU650" s="5" t="str">
        <f t="shared" si="834"/>
        <v>нет</v>
      </c>
      <c r="BV650" s="5" t="str">
        <f t="shared" si="859"/>
        <v>x</v>
      </c>
      <c r="BW650" s="5" t="str">
        <f t="shared" si="859"/>
        <v>x</v>
      </c>
      <c r="BX650" s="5" t="str">
        <f t="shared" si="859"/>
        <v>x</v>
      </c>
      <c r="BY650" s="5" t="str">
        <f t="shared" si="849"/>
        <v>нет</v>
      </c>
      <c r="BZ650" s="5" t="str">
        <f t="shared" si="850"/>
        <v>x</v>
      </c>
      <c r="CA650" s="5" t="str">
        <f t="shared" si="850"/>
        <v>x</v>
      </c>
      <c r="CB650" s="5" t="str">
        <f t="shared" si="850"/>
        <v>x</v>
      </c>
      <c r="CC650" s="5" t="str">
        <f>""</f>
        <v/>
      </c>
      <c r="CD650" s="5" t="str">
        <f>"49,00"</f>
        <v>49,00</v>
      </c>
      <c r="CE650" s="5" t="str">
        <f>"2019"</f>
        <v>2019</v>
      </c>
      <c r="CF650" s="5" t="str">
        <f>""</f>
        <v/>
      </c>
      <c r="CG650" s="5" t="str">
        <f>"48,00"</f>
        <v>48,00</v>
      </c>
      <c r="CH650" s="5" t="str">
        <f>"2019"</f>
        <v>2019</v>
      </c>
      <c r="CI650" s="5" t="str">
        <f>"42,00"</f>
        <v>42,00</v>
      </c>
      <c r="CJ650" s="5" t="str">
        <f>"2026"</f>
        <v>2026</v>
      </c>
    </row>
    <row r="651" spans="1:88" ht="11.25" customHeight="1">
      <c r="A651" s="3" t="str">
        <f>"1.638"</f>
        <v>1.638</v>
      </c>
      <c r="B651" s="4" t="str">
        <f>"с. Сидорово, ул. Советская, д.10"</f>
        <v>с. Сидорово, ул. Советская, д.10</v>
      </c>
      <c r="C651" s="7" t="str">
        <f>"1989"</f>
        <v>1989</v>
      </c>
      <c r="D651" s="5" t="str">
        <f>""</f>
        <v/>
      </c>
      <c r="E651" s="5" t="str">
        <f>"15,00"</f>
        <v>15,00</v>
      </c>
      <c r="F651" s="5" t="str">
        <f>"2022"</f>
        <v>2022</v>
      </c>
      <c r="G651" s="5" t="str">
        <f t="shared" si="867"/>
        <v>нет</v>
      </c>
      <c r="H651" s="5" t="str">
        <f>""</f>
        <v/>
      </c>
      <c r="I651" s="5" t="str">
        <f>""</f>
        <v/>
      </c>
      <c r="J651" s="5" t="str">
        <f>""</f>
        <v/>
      </c>
      <c r="K651" s="5" t="str">
        <f t="shared" si="868"/>
        <v>нет</v>
      </c>
      <c r="L651" s="5" t="str">
        <f>""</f>
        <v/>
      </c>
      <c r="M651" s="5" t="str">
        <f>""</f>
        <v/>
      </c>
      <c r="N651" s="5" t="str">
        <f>""</f>
        <v/>
      </c>
      <c r="O651" s="8" t="str">
        <f>""</f>
        <v/>
      </c>
      <c r="P651" s="5" t="str">
        <f>"20,00"</f>
        <v>20,00</v>
      </c>
      <c r="Q651" s="5" t="str">
        <f>"2026"</f>
        <v>2026</v>
      </c>
      <c r="R651" s="5" t="str">
        <f>"нет"</f>
        <v>нет</v>
      </c>
      <c r="S651" s="5" t="str">
        <f>""</f>
        <v/>
      </c>
      <c r="T651" s="5" t="str">
        <f>""</f>
        <v/>
      </c>
      <c r="U651" s="5" t="str">
        <f>""</f>
        <v/>
      </c>
      <c r="V651" s="5" t="str">
        <f>"нет"</f>
        <v>нет</v>
      </c>
      <c r="W651" s="5" t="str">
        <f>""</f>
        <v/>
      </c>
      <c r="X651" s="5" t="str">
        <f>""</f>
        <v/>
      </c>
      <c r="Y651" s="9" t="str">
        <f>""</f>
        <v/>
      </c>
      <c r="Z651" s="5" t="str">
        <f t="shared" ref="Z651:AJ654" si="873">"х"</f>
        <v>х</v>
      </c>
      <c r="AA651" s="5" t="str">
        <f t="shared" si="873"/>
        <v>х</v>
      </c>
      <c r="AB651" s="5" t="str">
        <f t="shared" si="873"/>
        <v>х</v>
      </c>
      <c r="AC651" s="5" t="str">
        <f t="shared" si="873"/>
        <v>х</v>
      </c>
      <c r="AD651" s="5" t="str">
        <f t="shared" si="873"/>
        <v>х</v>
      </c>
      <c r="AE651" s="5" t="str">
        <f t="shared" si="873"/>
        <v>х</v>
      </c>
      <c r="AF651" s="5" t="str">
        <f t="shared" si="873"/>
        <v>х</v>
      </c>
      <c r="AG651" s="5" t="str">
        <f t="shared" si="873"/>
        <v>х</v>
      </c>
      <c r="AH651" s="5" t="str">
        <f t="shared" si="873"/>
        <v>х</v>
      </c>
      <c r="AI651" s="5" t="str">
        <f t="shared" si="873"/>
        <v>х</v>
      </c>
      <c r="AJ651" s="5" t="str">
        <f t="shared" si="873"/>
        <v>х</v>
      </c>
      <c r="AK651" s="8" t="str">
        <f>""</f>
        <v/>
      </c>
      <c r="AL651" s="5" t="str">
        <f>"20,00"</f>
        <v>20,00</v>
      </c>
      <c r="AM651" s="5" t="str">
        <f>"2028"</f>
        <v>2028</v>
      </c>
      <c r="AN651" s="5" t="str">
        <f t="shared" si="857"/>
        <v>нет</v>
      </c>
      <c r="AO651" s="5" t="str">
        <f>""</f>
        <v/>
      </c>
      <c r="AP651" s="5" t="str">
        <f>""</f>
        <v/>
      </c>
      <c r="AQ651" s="5" t="str">
        <f>""</f>
        <v/>
      </c>
      <c r="AR651" s="5" t="str">
        <f t="shared" si="858"/>
        <v>нет</v>
      </c>
      <c r="AS651" s="5" t="str">
        <f>""</f>
        <v/>
      </c>
      <c r="AT651" s="5" t="str">
        <f>""</f>
        <v/>
      </c>
      <c r="AU651" s="5" t="str">
        <f>""</f>
        <v/>
      </c>
      <c r="AV651" s="5" t="str">
        <f>""</f>
        <v/>
      </c>
      <c r="AW651" s="5" t="str">
        <f>"17,00"</f>
        <v>17,00</v>
      </c>
      <c r="AX651" s="5" t="str">
        <f>"2025"</f>
        <v>2025</v>
      </c>
      <c r="AY651" s="5" t="str">
        <f>"нет"</f>
        <v>нет</v>
      </c>
      <c r="AZ651" s="5" t="str">
        <f>""</f>
        <v/>
      </c>
      <c r="BA651" s="5" t="str">
        <f>""</f>
        <v/>
      </c>
      <c r="BB651" s="5" t="str">
        <f>""</f>
        <v/>
      </c>
      <c r="BC651" s="5" t="str">
        <f>"нет"</f>
        <v>нет</v>
      </c>
      <c r="BD651" s="5" t="str">
        <f>""</f>
        <v/>
      </c>
      <c r="BE651" s="5" t="str">
        <f>""</f>
        <v/>
      </c>
      <c r="BF651" s="5" t="str">
        <f>""</f>
        <v/>
      </c>
      <c r="BG651" s="5" t="str">
        <f>""</f>
        <v/>
      </c>
      <c r="BH651" s="5" t="str">
        <f>"15,00"</f>
        <v>15,00</v>
      </c>
      <c r="BI651" s="5" t="str">
        <f>"2030"</f>
        <v>2030</v>
      </c>
      <c r="BJ651" s="5" t="str">
        <f>"нет"</f>
        <v>нет</v>
      </c>
      <c r="BK651" s="5" t="str">
        <f>""</f>
        <v/>
      </c>
      <c r="BL651" s="5" t="str">
        <f>""</f>
        <v/>
      </c>
      <c r="BM651" s="5" t="str">
        <f>""</f>
        <v/>
      </c>
      <c r="BN651" s="5" t="str">
        <f>"нет"</f>
        <v>нет</v>
      </c>
      <c r="BO651" s="5" t="str">
        <f>""</f>
        <v/>
      </c>
      <c r="BP651" s="5" t="str">
        <f>""</f>
        <v/>
      </c>
      <c r="BQ651" s="5" t="str">
        <f>""</f>
        <v/>
      </c>
      <c r="BR651" s="5" t="str">
        <f>""</f>
        <v/>
      </c>
      <c r="BS651" s="5" t="str">
        <f>"20,00"</f>
        <v>20,00</v>
      </c>
      <c r="BT651" s="5" t="str">
        <f>"2022"</f>
        <v>2022</v>
      </c>
      <c r="BU651" s="5" t="str">
        <f t="shared" si="834"/>
        <v>нет</v>
      </c>
      <c r="BV651" s="5" t="str">
        <f t="shared" si="859"/>
        <v>x</v>
      </c>
      <c r="BW651" s="5" t="str">
        <f t="shared" si="859"/>
        <v>x</v>
      </c>
      <c r="BX651" s="5" t="str">
        <f t="shared" si="859"/>
        <v>x</v>
      </c>
      <c r="BY651" s="5" t="str">
        <f t="shared" si="849"/>
        <v>нет</v>
      </c>
      <c r="BZ651" s="5" t="str">
        <f t="shared" si="850"/>
        <v>x</v>
      </c>
      <c r="CA651" s="5" t="str">
        <f t="shared" si="850"/>
        <v>x</v>
      </c>
      <c r="CB651" s="5" t="str">
        <f t="shared" si="850"/>
        <v>x</v>
      </c>
      <c r="CC651" s="5" t="str">
        <f>""</f>
        <v/>
      </c>
      <c r="CD651" s="5" t="str">
        <f>"12,00"</f>
        <v>12,00</v>
      </c>
      <c r="CE651" s="5" t="str">
        <f>"2033"</f>
        <v>2033</v>
      </c>
      <c r="CF651" s="5" t="str">
        <f>""</f>
        <v/>
      </c>
      <c r="CG651" s="5" t="str">
        <f>"15,00"</f>
        <v>15,00</v>
      </c>
      <c r="CH651" s="5" t="str">
        <f>"2035"</f>
        <v>2035</v>
      </c>
      <c r="CI651" s="5" t="str">
        <f>"10,00"</f>
        <v>10,00</v>
      </c>
      <c r="CJ651" s="5" t="str">
        <f>"2043"</f>
        <v>2043</v>
      </c>
    </row>
    <row r="652" spans="1:88" ht="11.25" customHeight="1">
      <c r="A652" s="3" t="str">
        <f>"1.639"</f>
        <v>1.639</v>
      </c>
      <c r="B652" s="4" t="str">
        <f>"с. Сидорово, ул. Советская, д.3"</f>
        <v>с. Сидорово, ул. Советская, д.3</v>
      </c>
      <c r="C652" s="7" t="str">
        <f>"1961"</f>
        <v>1961</v>
      </c>
      <c r="D652" s="5" t="str">
        <f>""</f>
        <v/>
      </c>
      <c r="E652" s="5" t="str">
        <f>"42,00"</f>
        <v>42,00</v>
      </c>
      <c r="F652" s="5" t="str">
        <f>"2019"</f>
        <v>2019</v>
      </c>
      <c r="G652" s="5" t="str">
        <f t="shared" si="867"/>
        <v>нет</v>
      </c>
      <c r="H652" s="5" t="str">
        <f>""</f>
        <v/>
      </c>
      <c r="I652" s="5" t="str">
        <f>""</f>
        <v/>
      </c>
      <c r="J652" s="5" t="str">
        <f>""</f>
        <v/>
      </c>
      <c r="K652" s="5" t="str">
        <f t="shared" si="868"/>
        <v>нет</v>
      </c>
      <c r="L652" s="5" t="str">
        <f>""</f>
        <v/>
      </c>
      <c r="M652" s="5" t="str">
        <f>""</f>
        <v/>
      </c>
      <c r="N652" s="5" t="str">
        <f>""</f>
        <v/>
      </c>
      <c r="O652" s="8" t="str">
        <f>""</f>
        <v/>
      </c>
      <c r="P652" s="5" t="str">
        <f>""</f>
        <v/>
      </c>
      <c r="Q652" s="5" t="str">
        <f>""</f>
        <v/>
      </c>
      <c r="R652" s="5" t="str">
        <f>""</f>
        <v/>
      </c>
      <c r="S652" s="5" t="str">
        <f>""</f>
        <v/>
      </c>
      <c r="T652" s="5" t="str">
        <f>""</f>
        <v/>
      </c>
      <c r="U652" s="5" t="str">
        <f>""</f>
        <v/>
      </c>
      <c r="V652" s="5" t="str">
        <f>""</f>
        <v/>
      </c>
      <c r="W652" s="5" t="str">
        <f>""</f>
        <v/>
      </c>
      <c r="X652" s="5" t="str">
        <f>""</f>
        <v/>
      </c>
      <c r="Y652" s="9" t="str">
        <f>""</f>
        <v/>
      </c>
      <c r="Z652" s="5" t="str">
        <f t="shared" si="873"/>
        <v>х</v>
      </c>
      <c r="AA652" s="5" t="str">
        <f t="shared" si="873"/>
        <v>х</v>
      </c>
      <c r="AB652" s="5" t="str">
        <f t="shared" si="873"/>
        <v>х</v>
      </c>
      <c r="AC652" s="5" t="str">
        <f t="shared" si="873"/>
        <v>х</v>
      </c>
      <c r="AD652" s="5" t="str">
        <f t="shared" si="873"/>
        <v>х</v>
      </c>
      <c r="AE652" s="5" t="str">
        <f t="shared" si="873"/>
        <v>х</v>
      </c>
      <c r="AF652" s="5" t="str">
        <f t="shared" si="873"/>
        <v>х</v>
      </c>
      <c r="AG652" s="5" t="str">
        <f t="shared" si="873"/>
        <v>х</v>
      </c>
      <c r="AH652" s="5" t="str">
        <f t="shared" si="873"/>
        <v>х</v>
      </c>
      <c r="AI652" s="5" t="str">
        <f t="shared" si="873"/>
        <v>х</v>
      </c>
      <c r="AJ652" s="5" t="str">
        <f t="shared" si="873"/>
        <v>х</v>
      </c>
      <c r="AK652" s="8" t="str">
        <f>"х"</f>
        <v>х</v>
      </c>
      <c r="AL652" s="5" t="str">
        <f>"х"</f>
        <v>х</v>
      </c>
      <c r="AM652" s="5" t="str">
        <f>"2018"</f>
        <v>2018</v>
      </c>
      <c r="AN652" s="5" t="str">
        <f t="shared" si="857"/>
        <v>нет</v>
      </c>
      <c r="AO652" s="5" t="str">
        <f>"х"</f>
        <v>х</v>
      </c>
      <c r="AP652" s="5" t="str">
        <f>"х"</f>
        <v>х</v>
      </c>
      <c r="AQ652" s="5" t="str">
        <f>"х"</f>
        <v>х</v>
      </c>
      <c r="AR652" s="5" t="str">
        <f t="shared" si="858"/>
        <v>нет</v>
      </c>
      <c r="AS652" s="5" t="str">
        <f t="shared" ref="AS652:BQ652" si="874">"х"</f>
        <v>х</v>
      </c>
      <c r="AT652" s="5" t="str">
        <f t="shared" si="874"/>
        <v>х</v>
      </c>
      <c r="AU652" s="5" t="str">
        <f t="shared" si="874"/>
        <v>х</v>
      </c>
      <c r="AV652" s="5" t="str">
        <f t="shared" si="874"/>
        <v>х</v>
      </c>
      <c r="AW652" s="5" t="str">
        <f t="shared" si="874"/>
        <v>х</v>
      </c>
      <c r="AX652" s="5" t="str">
        <f t="shared" si="874"/>
        <v>х</v>
      </c>
      <c r="AY652" s="5" t="str">
        <f t="shared" si="874"/>
        <v>х</v>
      </c>
      <c r="AZ652" s="5" t="str">
        <f t="shared" si="874"/>
        <v>х</v>
      </c>
      <c r="BA652" s="5" t="str">
        <f t="shared" si="874"/>
        <v>х</v>
      </c>
      <c r="BB652" s="5" t="str">
        <f t="shared" si="874"/>
        <v>х</v>
      </c>
      <c r="BC652" s="5" t="str">
        <f t="shared" si="874"/>
        <v>х</v>
      </c>
      <c r="BD652" s="5" t="str">
        <f t="shared" si="874"/>
        <v>х</v>
      </c>
      <c r="BE652" s="5" t="str">
        <f t="shared" si="874"/>
        <v>х</v>
      </c>
      <c r="BF652" s="5" t="str">
        <f t="shared" si="874"/>
        <v>х</v>
      </c>
      <c r="BG652" s="5" t="str">
        <f t="shared" si="874"/>
        <v>х</v>
      </c>
      <c r="BH652" s="5" t="str">
        <f t="shared" si="874"/>
        <v>х</v>
      </c>
      <c r="BI652" s="5" t="str">
        <f t="shared" si="874"/>
        <v>х</v>
      </c>
      <c r="BJ652" s="5" t="str">
        <f t="shared" si="874"/>
        <v>х</v>
      </c>
      <c r="BK652" s="5" t="str">
        <f t="shared" si="874"/>
        <v>х</v>
      </c>
      <c r="BL652" s="5" t="str">
        <f t="shared" si="874"/>
        <v>х</v>
      </c>
      <c r="BM652" s="5" t="str">
        <f t="shared" si="874"/>
        <v>х</v>
      </c>
      <c r="BN652" s="5" t="str">
        <f t="shared" si="874"/>
        <v>х</v>
      </c>
      <c r="BO652" s="5" t="str">
        <f t="shared" si="874"/>
        <v>х</v>
      </c>
      <c r="BP652" s="5" t="str">
        <f t="shared" si="874"/>
        <v>х</v>
      </c>
      <c r="BQ652" s="5" t="str">
        <f t="shared" si="874"/>
        <v>х</v>
      </c>
      <c r="BR652" s="5" t="str">
        <f>""</f>
        <v/>
      </c>
      <c r="BS652" s="5" t="str">
        <f>"50,00"</f>
        <v>50,00</v>
      </c>
      <c r="BT652" s="5" t="str">
        <f>"2018"</f>
        <v>2018</v>
      </c>
      <c r="BU652" s="5" t="str">
        <f t="shared" si="834"/>
        <v>нет</v>
      </c>
      <c r="BV652" s="5" t="str">
        <f t="shared" si="859"/>
        <v>x</v>
      </c>
      <c r="BW652" s="5" t="str">
        <f t="shared" si="859"/>
        <v>x</v>
      </c>
      <c r="BX652" s="5" t="str">
        <f t="shared" si="859"/>
        <v>x</v>
      </c>
      <c r="BY652" s="5" t="str">
        <f t="shared" si="849"/>
        <v>нет</v>
      </c>
      <c r="BZ652" s="5" t="str">
        <f t="shared" si="850"/>
        <v>x</v>
      </c>
      <c r="CA652" s="5" t="str">
        <f t="shared" si="850"/>
        <v>x</v>
      </c>
      <c r="CB652" s="5" t="str">
        <f t="shared" si="850"/>
        <v>x</v>
      </c>
      <c r="CC652" s="5" t="str">
        <f>""</f>
        <v/>
      </c>
      <c r="CD652" s="5" t="str">
        <f>"45,00"</f>
        <v>45,00</v>
      </c>
      <c r="CE652" s="5" t="str">
        <f>"2020"</f>
        <v>2020</v>
      </c>
      <c r="CF652" s="5" t="str">
        <f>""</f>
        <v/>
      </c>
      <c r="CG652" s="5" t="str">
        <f>"46,00"</f>
        <v>46,00</v>
      </c>
      <c r="CH652" s="5" t="str">
        <f>"2021"</f>
        <v>2021</v>
      </c>
      <c r="CI652" s="5" t="str">
        <f>"63,00"</f>
        <v>63,00</v>
      </c>
      <c r="CJ652" s="5" t="str">
        <f>"2046"</f>
        <v>2046</v>
      </c>
    </row>
    <row r="653" spans="1:88" ht="11.25" customHeight="1">
      <c r="A653" s="3" t="str">
        <f>"1.640"</f>
        <v>1.640</v>
      </c>
      <c r="B653" s="4" t="str">
        <f>"с. Сидорово, ул. Советская, д.6"</f>
        <v>с. Сидорово, ул. Советская, д.6</v>
      </c>
      <c r="C653" s="7" t="str">
        <f>"1989"</f>
        <v>1989</v>
      </c>
      <c r="D653" s="5" t="str">
        <f>""</f>
        <v/>
      </c>
      <c r="E653" s="5" t="str">
        <f>"18,00"</f>
        <v>18,00</v>
      </c>
      <c r="F653" s="5" t="str">
        <f>"2027"</f>
        <v>2027</v>
      </c>
      <c r="G653" s="5" t="str">
        <f t="shared" si="867"/>
        <v>нет</v>
      </c>
      <c r="H653" s="5" t="str">
        <f>""</f>
        <v/>
      </c>
      <c r="I653" s="5" t="str">
        <f>""</f>
        <v/>
      </c>
      <c r="J653" s="5" t="str">
        <f>""</f>
        <v/>
      </c>
      <c r="K653" s="5" t="str">
        <f t="shared" si="868"/>
        <v>нет</v>
      </c>
      <c r="L653" s="5" t="str">
        <f>""</f>
        <v/>
      </c>
      <c r="M653" s="5" t="str">
        <f>""</f>
        <v/>
      </c>
      <c r="N653" s="5" t="str">
        <f>""</f>
        <v/>
      </c>
      <c r="O653" s="8" t="str">
        <f>""</f>
        <v/>
      </c>
      <c r="P653" s="5" t="str">
        <f>"16,00"</f>
        <v>16,00</v>
      </c>
      <c r="Q653" s="5" t="str">
        <f>"2026"</f>
        <v>2026</v>
      </c>
      <c r="R653" s="5" t="str">
        <f>"нет"</f>
        <v>нет</v>
      </c>
      <c r="S653" s="5" t="str">
        <f>""</f>
        <v/>
      </c>
      <c r="T653" s="5" t="str">
        <f>""</f>
        <v/>
      </c>
      <c r="U653" s="5" t="str">
        <f>""</f>
        <v/>
      </c>
      <c r="V653" s="5" t="str">
        <f>"нет"</f>
        <v>нет</v>
      </c>
      <c r="W653" s="5" t="str">
        <f>""</f>
        <v/>
      </c>
      <c r="X653" s="5" t="str">
        <f>""</f>
        <v/>
      </c>
      <c r="Y653" s="9" t="str">
        <f>""</f>
        <v/>
      </c>
      <c r="Z653" s="5" t="str">
        <f t="shared" si="873"/>
        <v>х</v>
      </c>
      <c r="AA653" s="5" t="str">
        <f t="shared" si="873"/>
        <v>х</v>
      </c>
      <c r="AB653" s="5" t="str">
        <f t="shared" si="873"/>
        <v>х</v>
      </c>
      <c r="AC653" s="5" t="str">
        <f t="shared" si="873"/>
        <v>х</v>
      </c>
      <c r="AD653" s="5" t="str">
        <f t="shared" si="873"/>
        <v>х</v>
      </c>
      <c r="AE653" s="5" t="str">
        <f t="shared" si="873"/>
        <v>х</v>
      </c>
      <c r="AF653" s="5" t="str">
        <f t="shared" si="873"/>
        <v>х</v>
      </c>
      <c r="AG653" s="5" t="str">
        <f t="shared" si="873"/>
        <v>х</v>
      </c>
      <c r="AH653" s="5" t="str">
        <f t="shared" si="873"/>
        <v>х</v>
      </c>
      <c r="AI653" s="5" t="str">
        <f t="shared" si="873"/>
        <v>х</v>
      </c>
      <c r="AJ653" s="5" t="str">
        <f t="shared" si="873"/>
        <v>х</v>
      </c>
      <c r="AK653" s="8" t="str">
        <f>""</f>
        <v/>
      </c>
      <c r="AL653" s="5" t="str">
        <f>"20,00"</f>
        <v>20,00</v>
      </c>
      <c r="AM653" s="5" t="str">
        <f>"2026"</f>
        <v>2026</v>
      </c>
      <c r="AN653" s="5" t="str">
        <f t="shared" si="857"/>
        <v>нет</v>
      </c>
      <c r="AO653" s="5" t="str">
        <f>""</f>
        <v/>
      </c>
      <c r="AP653" s="5" t="str">
        <f>""</f>
        <v/>
      </c>
      <c r="AQ653" s="5" t="str">
        <f>""</f>
        <v/>
      </c>
      <c r="AR653" s="5" t="str">
        <f t="shared" si="858"/>
        <v>нет</v>
      </c>
      <c r="AS653" s="5" t="str">
        <f>""</f>
        <v/>
      </c>
      <c r="AT653" s="5" t="str">
        <f>""</f>
        <v/>
      </c>
      <c r="AU653" s="5" t="str">
        <f>""</f>
        <v/>
      </c>
      <c r="AV653" s="5" t="str">
        <f>""</f>
        <v/>
      </c>
      <c r="AW653" s="5" t="str">
        <f>"20,00"</f>
        <v>20,00</v>
      </c>
      <c r="AX653" s="5" t="str">
        <f>"2026"</f>
        <v>2026</v>
      </c>
      <c r="AY653" s="5" t="str">
        <f>"нет"</f>
        <v>нет</v>
      </c>
      <c r="AZ653" s="5" t="str">
        <f>""</f>
        <v/>
      </c>
      <c r="BA653" s="5" t="str">
        <f>""</f>
        <v/>
      </c>
      <c r="BB653" s="5" t="str">
        <f>""</f>
        <v/>
      </c>
      <c r="BC653" s="5" t="str">
        <f>"нет"</f>
        <v>нет</v>
      </c>
      <c r="BD653" s="5" t="str">
        <f>""</f>
        <v/>
      </c>
      <c r="BE653" s="5" t="str">
        <f>""</f>
        <v/>
      </c>
      <c r="BF653" s="5" t="str">
        <f>""</f>
        <v/>
      </c>
      <c r="BG653" s="5" t="str">
        <f>""</f>
        <v/>
      </c>
      <c r="BH653" s="5" t="str">
        <f>"18,00"</f>
        <v>18,00</v>
      </c>
      <c r="BI653" s="5" t="str">
        <f>"2028"</f>
        <v>2028</v>
      </c>
      <c r="BJ653" s="5" t="str">
        <f>"нет"</f>
        <v>нет</v>
      </c>
      <c r="BK653" s="5" t="str">
        <f>""</f>
        <v/>
      </c>
      <c r="BL653" s="5" t="str">
        <f>""</f>
        <v/>
      </c>
      <c r="BM653" s="5" t="str">
        <f>""</f>
        <v/>
      </c>
      <c r="BN653" s="5" t="str">
        <f>"нет"</f>
        <v>нет</v>
      </c>
      <c r="BO653" s="5" t="str">
        <f>""</f>
        <v/>
      </c>
      <c r="BP653" s="5" t="str">
        <f>""</f>
        <v/>
      </c>
      <c r="BQ653" s="5" t="str">
        <f>""</f>
        <v/>
      </c>
      <c r="BR653" s="5" t="str">
        <f>""</f>
        <v/>
      </c>
      <c r="BS653" s="5" t="str">
        <f>"15,00"</f>
        <v>15,00</v>
      </c>
      <c r="BT653" s="5" t="str">
        <f>"2025"</f>
        <v>2025</v>
      </c>
      <c r="BU653" s="5" t="str">
        <f t="shared" si="834"/>
        <v>нет</v>
      </c>
      <c r="BV653" s="5" t="str">
        <f t="shared" si="859"/>
        <v>x</v>
      </c>
      <c r="BW653" s="5" t="str">
        <f t="shared" si="859"/>
        <v>x</v>
      </c>
      <c r="BX653" s="5" t="str">
        <f t="shared" si="859"/>
        <v>x</v>
      </c>
      <c r="BY653" s="5" t="str">
        <f t="shared" si="849"/>
        <v>нет</v>
      </c>
      <c r="BZ653" s="5" t="str">
        <f t="shared" ref="BZ653:CA655" si="875">"x"</f>
        <v>x</v>
      </c>
      <c r="CA653" s="5" t="str">
        <f t="shared" si="875"/>
        <v>x</v>
      </c>
      <c r="CB653" s="5" t="str">
        <f>"2024"</f>
        <v>2024</v>
      </c>
      <c r="CC653" s="5" t="str">
        <f>""</f>
        <v/>
      </c>
      <c r="CD653" s="5" t="str">
        <f>"20,00"</f>
        <v>20,00</v>
      </c>
      <c r="CE653" s="5" t="str">
        <f>"2024"</f>
        <v>2024</v>
      </c>
      <c r="CF653" s="5" t="str">
        <f>""</f>
        <v/>
      </c>
      <c r="CG653" s="5" t="str">
        <f>"30,00"</f>
        <v>30,00</v>
      </c>
      <c r="CH653" s="5" t="str">
        <f>"2027"</f>
        <v>2027</v>
      </c>
      <c r="CI653" s="5" t="str">
        <f>"15,40"</f>
        <v>15,40</v>
      </c>
      <c r="CJ653" s="5" t="str">
        <f>"2029"</f>
        <v>2029</v>
      </c>
    </row>
    <row r="654" spans="1:88" ht="11.25" customHeight="1">
      <c r="A654" s="3" t="str">
        <f>"1.641"</f>
        <v>1.641</v>
      </c>
      <c r="B654" s="4" t="str">
        <f>"ст. Бушуиха, д.4"</f>
        <v>ст. Бушуиха, д.4</v>
      </c>
      <c r="C654" s="7" t="str">
        <f>"1904"</f>
        <v>1904</v>
      </c>
      <c r="D654" s="5" t="str">
        <f>""</f>
        <v/>
      </c>
      <c r="E654" s="5" t="str">
        <f>"75,00"</f>
        <v>75,00</v>
      </c>
      <c r="F654" s="5" t="str">
        <f>"2030"</f>
        <v>2030</v>
      </c>
      <c r="G654" s="5" t="str">
        <f t="shared" si="867"/>
        <v>нет</v>
      </c>
      <c r="H654" s="5" t="str">
        <f>""</f>
        <v/>
      </c>
      <c r="I654" s="5" t="str">
        <f>""</f>
        <v/>
      </c>
      <c r="J654" s="5" t="str">
        <f>""</f>
        <v/>
      </c>
      <c r="K654" s="5" t="str">
        <f t="shared" si="868"/>
        <v>нет</v>
      </c>
      <c r="L654" s="5" t="str">
        <f>""</f>
        <v/>
      </c>
      <c r="M654" s="5" t="str">
        <f>""</f>
        <v/>
      </c>
      <c r="N654" s="5" t="str">
        <f>""</f>
        <v/>
      </c>
      <c r="O654" s="8" t="str">
        <f t="shared" ref="O654:Y654" si="876">"х"</f>
        <v>х</v>
      </c>
      <c r="P654" s="5" t="str">
        <f t="shared" si="876"/>
        <v>х</v>
      </c>
      <c r="Q654" s="5" t="str">
        <f t="shared" si="876"/>
        <v>х</v>
      </c>
      <c r="R654" s="5" t="str">
        <f t="shared" si="876"/>
        <v>х</v>
      </c>
      <c r="S654" s="5" t="str">
        <f t="shared" si="876"/>
        <v>х</v>
      </c>
      <c r="T654" s="5" t="str">
        <f t="shared" si="876"/>
        <v>х</v>
      </c>
      <c r="U654" s="5" t="str">
        <f t="shared" si="876"/>
        <v>х</v>
      </c>
      <c r="V654" s="5" t="str">
        <f t="shared" si="876"/>
        <v>х</v>
      </c>
      <c r="W654" s="5" t="str">
        <f t="shared" si="876"/>
        <v>х</v>
      </c>
      <c r="X654" s="5" t="str">
        <f t="shared" si="876"/>
        <v>х</v>
      </c>
      <c r="Y654" s="9" t="str">
        <f t="shared" si="876"/>
        <v>х</v>
      </c>
      <c r="Z654" s="5" t="str">
        <f t="shared" si="873"/>
        <v>х</v>
      </c>
      <c r="AA654" s="5" t="str">
        <f t="shared" si="873"/>
        <v>х</v>
      </c>
      <c r="AB654" s="5" t="str">
        <f t="shared" si="873"/>
        <v>х</v>
      </c>
      <c r="AC654" s="5" t="str">
        <f t="shared" si="873"/>
        <v>х</v>
      </c>
      <c r="AD654" s="5" t="str">
        <f t="shared" si="873"/>
        <v>х</v>
      </c>
      <c r="AE654" s="5" t="str">
        <f t="shared" si="873"/>
        <v>х</v>
      </c>
      <c r="AF654" s="5" t="str">
        <f t="shared" si="873"/>
        <v>х</v>
      </c>
      <c r="AG654" s="5" t="str">
        <f t="shared" si="873"/>
        <v>х</v>
      </c>
      <c r="AH654" s="5" t="str">
        <f t="shared" si="873"/>
        <v>х</v>
      </c>
      <c r="AI654" s="5" t="str">
        <f t="shared" si="873"/>
        <v>х</v>
      </c>
      <c r="AJ654" s="5" t="str">
        <f t="shared" si="873"/>
        <v>х</v>
      </c>
      <c r="AK654" s="8" t="str">
        <f t="shared" ref="AK654:BQ654" si="877">"х"</f>
        <v>х</v>
      </c>
      <c r="AL654" s="5" t="str">
        <f t="shared" si="877"/>
        <v>х</v>
      </c>
      <c r="AM654" s="5" t="str">
        <f t="shared" si="877"/>
        <v>х</v>
      </c>
      <c r="AN654" s="5" t="str">
        <f t="shared" si="877"/>
        <v>х</v>
      </c>
      <c r="AO654" s="5" t="str">
        <f t="shared" si="877"/>
        <v>х</v>
      </c>
      <c r="AP654" s="5" t="str">
        <f t="shared" si="877"/>
        <v>х</v>
      </c>
      <c r="AQ654" s="5" t="str">
        <f t="shared" si="877"/>
        <v>х</v>
      </c>
      <c r="AR654" s="5" t="str">
        <f t="shared" si="877"/>
        <v>х</v>
      </c>
      <c r="AS654" s="5" t="str">
        <f t="shared" si="877"/>
        <v>х</v>
      </c>
      <c r="AT654" s="5" t="str">
        <f t="shared" si="877"/>
        <v>х</v>
      </c>
      <c r="AU654" s="5" t="str">
        <f t="shared" si="877"/>
        <v>х</v>
      </c>
      <c r="AV654" s="5" t="str">
        <f t="shared" si="877"/>
        <v>х</v>
      </c>
      <c r="AW654" s="5" t="str">
        <f t="shared" si="877"/>
        <v>х</v>
      </c>
      <c r="AX654" s="5" t="str">
        <f t="shared" si="877"/>
        <v>х</v>
      </c>
      <c r="AY654" s="5" t="str">
        <f t="shared" si="877"/>
        <v>х</v>
      </c>
      <c r="AZ654" s="5" t="str">
        <f t="shared" si="877"/>
        <v>х</v>
      </c>
      <c r="BA654" s="5" t="str">
        <f t="shared" si="877"/>
        <v>х</v>
      </c>
      <c r="BB654" s="5" t="str">
        <f t="shared" si="877"/>
        <v>х</v>
      </c>
      <c r="BC654" s="5" t="str">
        <f t="shared" si="877"/>
        <v>х</v>
      </c>
      <c r="BD654" s="5" t="str">
        <f t="shared" si="877"/>
        <v>х</v>
      </c>
      <c r="BE654" s="5" t="str">
        <f t="shared" si="877"/>
        <v>х</v>
      </c>
      <c r="BF654" s="5" t="str">
        <f t="shared" si="877"/>
        <v>х</v>
      </c>
      <c r="BG654" s="5" t="str">
        <f t="shared" si="877"/>
        <v>х</v>
      </c>
      <c r="BH654" s="5" t="str">
        <f t="shared" si="877"/>
        <v>х</v>
      </c>
      <c r="BI654" s="5" t="str">
        <f t="shared" si="877"/>
        <v>х</v>
      </c>
      <c r="BJ654" s="5" t="str">
        <f t="shared" si="877"/>
        <v>х</v>
      </c>
      <c r="BK654" s="5" t="str">
        <f t="shared" si="877"/>
        <v>х</v>
      </c>
      <c r="BL654" s="5" t="str">
        <f t="shared" si="877"/>
        <v>х</v>
      </c>
      <c r="BM654" s="5" t="str">
        <f t="shared" si="877"/>
        <v>х</v>
      </c>
      <c r="BN654" s="5" t="str">
        <f t="shared" si="877"/>
        <v>х</v>
      </c>
      <c r="BO654" s="5" t="str">
        <f t="shared" si="877"/>
        <v>х</v>
      </c>
      <c r="BP654" s="5" t="str">
        <f t="shared" si="877"/>
        <v>х</v>
      </c>
      <c r="BQ654" s="5" t="str">
        <f t="shared" si="877"/>
        <v>х</v>
      </c>
      <c r="BR654" s="5" t="str">
        <f>""</f>
        <v/>
      </c>
      <c r="BS654" s="5" t="str">
        <f>"75,00"</f>
        <v>75,00</v>
      </c>
      <c r="BT654" s="5" t="str">
        <f>"2030"</f>
        <v>2030</v>
      </c>
      <c r="BU654" s="5" t="str">
        <f t="shared" si="834"/>
        <v>нет</v>
      </c>
      <c r="BV654" s="5" t="str">
        <f t="shared" si="859"/>
        <v>x</v>
      </c>
      <c r="BW654" s="5" t="str">
        <f t="shared" si="859"/>
        <v>x</v>
      </c>
      <c r="BX654" s="5" t="str">
        <f t="shared" si="859"/>
        <v>x</v>
      </c>
      <c r="BY654" s="5" t="str">
        <f t="shared" si="849"/>
        <v>нет</v>
      </c>
      <c r="BZ654" s="5" t="str">
        <f t="shared" si="875"/>
        <v>x</v>
      </c>
      <c r="CA654" s="5" t="str">
        <f t="shared" si="875"/>
        <v>x</v>
      </c>
      <c r="CB654" s="5" t="str">
        <f>"x"</f>
        <v>x</v>
      </c>
      <c r="CC654" s="5" t="str">
        <f>""</f>
        <v/>
      </c>
      <c r="CD654" s="5" t="str">
        <f>"75,00"</f>
        <v>75,00</v>
      </c>
      <c r="CE654" s="5" t="str">
        <f>"2030"</f>
        <v>2030</v>
      </c>
      <c r="CF654" s="5" t="str">
        <f>""</f>
        <v/>
      </c>
      <c r="CG654" s="5" t="str">
        <f>"75,00"</f>
        <v>75,00</v>
      </c>
      <c r="CH654" s="5" t="str">
        <f>"2030"</f>
        <v>2030</v>
      </c>
      <c r="CI654" s="5" t="str">
        <f>"90,00"</f>
        <v>90,00</v>
      </c>
      <c r="CJ654" s="5" t="str">
        <f>"2030"</f>
        <v>2030</v>
      </c>
    </row>
    <row r="655" spans="1:88" ht="11.25" customHeight="1">
      <c r="A655" s="3" t="str">
        <f>"1.642"</f>
        <v>1.642</v>
      </c>
      <c r="B655" s="4" t="str">
        <f>"ул. Ленина, д.114"</f>
        <v>ул. Ленина, д.114</v>
      </c>
      <c r="C655" s="7" t="str">
        <f>"1975"</f>
        <v>1975</v>
      </c>
      <c r="D655" s="5" t="str">
        <f>"1970"</f>
        <v>1970</v>
      </c>
      <c r="E655" s="5" t="str">
        <f>"40,00"</f>
        <v>40,00</v>
      </c>
      <c r="F655" s="5" t="str">
        <f>"2019"</f>
        <v>2019</v>
      </c>
      <c r="G655" s="5" t="str">
        <f>"да"</f>
        <v>да</v>
      </c>
      <c r="H655" s="5" t="str">
        <f>""</f>
        <v/>
      </c>
      <c r="I655" s="5" t="str">
        <f>"40,00"</f>
        <v>40,00</v>
      </c>
      <c r="J655" s="5" t="str">
        <f>"2019"</f>
        <v>2019</v>
      </c>
      <c r="K655" s="5" t="str">
        <f>"да"</f>
        <v>да</v>
      </c>
      <c r="L655" s="5" t="str">
        <f>""</f>
        <v/>
      </c>
      <c r="M655" s="5" t="str">
        <f>"40,00"</f>
        <v>40,00</v>
      </c>
      <c r="N655" s="5" t="str">
        <f>"2019"</f>
        <v>2019</v>
      </c>
      <c r="O655" s="8" t="str">
        <f>"1970"</f>
        <v>1970</v>
      </c>
      <c r="P655" s="5" t="str">
        <f>"40,00"</f>
        <v>40,00</v>
      </c>
      <c r="Q655" s="5" t="str">
        <f>"2020"</f>
        <v>2020</v>
      </c>
      <c r="R655" s="5" t="str">
        <f>"нет"</f>
        <v>нет</v>
      </c>
      <c r="S655" s="5" t="str">
        <f>""</f>
        <v/>
      </c>
      <c r="T655" s="5" t="str">
        <f>""</f>
        <v/>
      </c>
      <c r="U655" s="5" t="str">
        <f>""</f>
        <v/>
      </c>
      <c r="V655" s="5" t="str">
        <f>"нет"</f>
        <v>нет</v>
      </c>
      <c r="W655" s="5" t="str">
        <f>""</f>
        <v/>
      </c>
      <c r="X655" s="5" t="str">
        <f>""</f>
        <v/>
      </c>
      <c r="Y655" s="9" t="str">
        <f>""</f>
        <v/>
      </c>
      <c r="Z655" s="5" t="str">
        <f>"х"</f>
        <v>х</v>
      </c>
      <c r="AA655" s="5" t="str">
        <f>"х"</f>
        <v>х</v>
      </c>
      <c r="AB655" s="5" t="str">
        <f>"х"</f>
        <v>х</v>
      </c>
      <c r="AC655" s="5" t="str">
        <f>"нет"</f>
        <v>нет</v>
      </c>
      <c r="AD655" s="5" t="str">
        <f t="shared" ref="AD655:AF657" si="878">"х"</f>
        <v>х</v>
      </c>
      <c r="AE655" s="5" t="str">
        <f t="shared" si="878"/>
        <v>х</v>
      </c>
      <c r="AF655" s="5" t="str">
        <f t="shared" si="878"/>
        <v>х</v>
      </c>
      <c r="AG655" s="5" t="str">
        <f>"нет"</f>
        <v>нет</v>
      </c>
      <c r="AH655" s="5" t="str">
        <f t="shared" ref="AH655:AJ657" si="879">"х"</f>
        <v>х</v>
      </c>
      <c r="AI655" s="5" t="str">
        <f t="shared" si="879"/>
        <v>х</v>
      </c>
      <c r="AJ655" s="5" t="str">
        <f t="shared" si="879"/>
        <v>х</v>
      </c>
      <c r="AK655" s="8" t="str">
        <f>"1970"</f>
        <v>1970</v>
      </c>
      <c r="AL655" s="5" t="str">
        <f>"40,00"</f>
        <v>40,00</v>
      </c>
      <c r="AM655" s="5" t="str">
        <f>"2020"</f>
        <v>2020</v>
      </c>
      <c r="AN655" s="5" t="str">
        <f>"нет"</f>
        <v>нет</v>
      </c>
      <c r="AO655" s="5" t="str">
        <f>""</f>
        <v/>
      </c>
      <c r="AP655" s="5" t="str">
        <f>""</f>
        <v/>
      </c>
      <c r="AQ655" s="5" t="str">
        <f>""</f>
        <v/>
      </c>
      <c r="AR655" s="5" t="str">
        <f t="shared" ref="AR655:AR660" si="880">"нет"</f>
        <v>нет</v>
      </c>
      <c r="AS655" s="5" t="str">
        <f>""</f>
        <v/>
      </c>
      <c r="AT655" s="5" t="str">
        <f>""</f>
        <v/>
      </c>
      <c r="AU655" s="5" t="str">
        <f>""</f>
        <v/>
      </c>
      <c r="AV655" s="5" t="str">
        <f>"1970"</f>
        <v>1970</v>
      </c>
      <c r="AW655" s="5" t="str">
        <f>"40,00"</f>
        <v>40,00</v>
      </c>
      <c r="AX655" s="5" t="str">
        <f>"2021"</f>
        <v>2021</v>
      </c>
      <c r="AY655" s="5" t="str">
        <f>"нет"</f>
        <v>нет</v>
      </c>
      <c r="AZ655" s="5" t="str">
        <f>""</f>
        <v/>
      </c>
      <c r="BA655" s="5" t="str">
        <f>""</f>
        <v/>
      </c>
      <c r="BB655" s="5" t="str">
        <f>""</f>
        <v/>
      </c>
      <c r="BC655" s="5" t="str">
        <f>"нет"</f>
        <v>нет</v>
      </c>
      <c r="BD655" s="5" t="str">
        <f>""</f>
        <v/>
      </c>
      <c r="BE655" s="5" t="str">
        <f>""</f>
        <v/>
      </c>
      <c r="BF655" s="5" t="str">
        <f>""</f>
        <v/>
      </c>
      <c r="BG655" s="5" t="str">
        <f>"1970"</f>
        <v>1970</v>
      </c>
      <c r="BH655" s="5" t="str">
        <f>"40,00"</f>
        <v>40,00</v>
      </c>
      <c r="BI655" s="5" t="str">
        <f>"2022"</f>
        <v>2022</v>
      </c>
      <c r="BJ655" s="5" t="str">
        <f>"нет"</f>
        <v>нет</v>
      </c>
      <c r="BK655" s="5" t="str">
        <f>""</f>
        <v/>
      </c>
      <c r="BL655" s="5" t="str">
        <f>""</f>
        <v/>
      </c>
      <c r="BM655" s="5" t="str">
        <f>""</f>
        <v/>
      </c>
      <c r="BN655" s="5" t="str">
        <f>"нет"</f>
        <v>нет</v>
      </c>
      <c r="BO655" s="5" t="str">
        <f>""</f>
        <v/>
      </c>
      <c r="BP655" s="5" t="str">
        <f>""</f>
        <v/>
      </c>
      <c r="BQ655" s="5" t="str">
        <f>""</f>
        <v/>
      </c>
      <c r="BR655" s="5" t="str">
        <f>"1970"</f>
        <v>1970</v>
      </c>
      <c r="BS655" s="5" t="str">
        <f>"40,00"</f>
        <v>40,00</v>
      </c>
      <c r="BT655" s="5" t="str">
        <f>"2023"</f>
        <v>2023</v>
      </c>
      <c r="BU655" s="5" t="str">
        <f t="shared" si="834"/>
        <v>нет</v>
      </c>
      <c r="BV655" s="5" t="str">
        <f t="shared" si="859"/>
        <v>x</v>
      </c>
      <c r="BW655" s="5" t="str">
        <f t="shared" si="859"/>
        <v>x</v>
      </c>
      <c r="BX655" s="5" t="str">
        <f t="shared" si="859"/>
        <v>x</v>
      </c>
      <c r="BY655" s="5" t="str">
        <f t="shared" si="849"/>
        <v>нет</v>
      </c>
      <c r="BZ655" s="5" t="str">
        <f t="shared" si="875"/>
        <v>x</v>
      </c>
      <c r="CA655" s="5" t="str">
        <f t="shared" si="875"/>
        <v>x</v>
      </c>
      <c r="CB655" s="5" t="str">
        <f>"x"</f>
        <v>x</v>
      </c>
      <c r="CC655" s="5" t="str">
        <f>"1970"</f>
        <v>1970</v>
      </c>
      <c r="CD655" s="5" t="str">
        <f>"40,00"</f>
        <v>40,00</v>
      </c>
      <c r="CE655" s="5" t="str">
        <f>"2022"</f>
        <v>2022</v>
      </c>
      <c r="CF655" s="5" t="str">
        <f>"2023"</f>
        <v>2023</v>
      </c>
      <c r="CG655" s="5" t="str">
        <f>"40,00"</f>
        <v>40,00</v>
      </c>
      <c r="CH655" s="5" t="str">
        <f>"2020"</f>
        <v>2020</v>
      </c>
      <c r="CI655" s="5" t="str">
        <f>"40,00"</f>
        <v>40,00</v>
      </c>
      <c r="CJ655" s="5" t="str">
        <f>"2042"</f>
        <v>2042</v>
      </c>
    </row>
    <row r="656" spans="1:88" ht="11.25" customHeight="1">
      <c r="A656" s="3" t="str">
        <f>"1.643"</f>
        <v>1.643</v>
      </c>
      <c r="B656" s="4" t="str">
        <f>"ул. Ленина, д.118"</f>
        <v>ул. Ленина, д.118</v>
      </c>
      <c r="C656" s="7" t="str">
        <f>"1968"</f>
        <v>1968</v>
      </c>
      <c r="D656" s="5" t="str">
        <f>"1968"</f>
        <v>1968</v>
      </c>
      <c r="E656" s="5" t="str">
        <f>"35,00"</f>
        <v>35,00</v>
      </c>
      <c r="F656" s="5" t="str">
        <f>"2026"</f>
        <v>2026</v>
      </c>
      <c r="G656" s="5" t="str">
        <f>"да"</f>
        <v>да</v>
      </c>
      <c r="H656" s="5" t="str">
        <f>""</f>
        <v/>
      </c>
      <c r="I656" s="5" t="str">
        <f>"35,00"</f>
        <v>35,00</v>
      </c>
      <c r="J656" s="5" t="str">
        <f>"2026"</f>
        <v>2026</v>
      </c>
      <c r="K656" s="5" t="str">
        <f>"да"</f>
        <v>да</v>
      </c>
      <c r="L656" s="5" t="str">
        <f>""</f>
        <v/>
      </c>
      <c r="M656" s="5" t="str">
        <f>"35,00"</f>
        <v>35,00</v>
      </c>
      <c r="N656" s="5" t="str">
        <f>"2026"</f>
        <v>2026</v>
      </c>
      <c r="O656" s="8" t="str">
        <f>"1968"</f>
        <v>1968</v>
      </c>
      <c r="P656" s="5" t="str">
        <f>"35,00"</f>
        <v>35,00</v>
      </c>
      <c r="Q656" s="5" t="str">
        <f>"2025"</f>
        <v>2025</v>
      </c>
      <c r="R656" s="5" t="str">
        <f>"нет"</f>
        <v>нет</v>
      </c>
      <c r="S656" s="5" t="str">
        <f>""</f>
        <v/>
      </c>
      <c r="T656" s="5" t="str">
        <f>""</f>
        <v/>
      </c>
      <c r="U656" s="5" t="str">
        <f>""</f>
        <v/>
      </c>
      <c r="V656" s="5" t="str">
        <f>"нет"</f>
        <v>нет</v>
      </c>
      <c r="W656" s="5" t="str">
        <f>""</f>
        <v/>
      </c>
      <c r="X656" s="5" t="str">
        <f>""</f>
        <v/>
      </c>
      <c r="Y656" s="9" t="str">
        <f>""</f>
        <v/>
      </c>
      <c r="Z656" s="5" t="str">
        <f>"1968"</f>
        <v>1968</v>
      </c>
      <c r="AA656" s="5" t="str">
        <f>"30,00"</f>
        <v>30,00</v>
      </c>
      <c r="AB656" s="5" t="str">
        <f>"2026"</f>
        <v>2026</v>
      </c>
      <c r="AC656" s="5" t="str">
        <f>"нет"</f>
        <v>нет</v>
      </c>
      <c r="AD656" s="5" t="str">
        <f t="shared" si="878"/>
        <v>х</v>
      </c>
      <c r="AE656" s="5" t="str">
        <f t="shared" si="878"/>
        <v>х</v>
      </c>
      <c r="AF656" s="5" t="str">
        <f t="shared" si="878"/>
        <v>х</v>
      </c>
      <c r="AG656" s="5" t="str">
        <f>"нет"</f>
        <v>нет</v>
      </c>
      <c r="AH656" s="5" t="str">
        <f t="shared" si="879"/>
        <v>х</v>
      </c>
      <c r="AI656" s="5" t="str">
        <f t="shared" si="879"/>
        <v>х</v>
      </c>
      <c r="AJ656" s="5" t="str">
        <f t="shared" si="879"/>
        <v>х</v>
      </c>
      <c r="AK656" s="8" t="str">
        <f>"1968"</f>
        <v>1968</v>
      </c>
      <c r="AL656" s="5" t="str">
        <f>"30,00"</f>
        <v>30,00</v>
      </c>
      <c r="AM656" s="5" t="str">
        <f>"2027"</f>
        <v>2027</v>
      </c>
      <c r="AN656" s="5" t="str">
        <f>"нет"</f>
        <v>нет</v>
      </c>
      <c r="AO656" s="5" t="str">
        <f>""</f>
        <v/>
      </c>
      <c r="AP656" s="5" t="str">
        <f>""</f>
        <v/>
      </c>
      <c r="AQ656" s="5" t="str">
        <f>""</f>
        <v/>
      </c>
      <c r="AR656" s="5" t="str">
        <f t="shared" si="880"/>
        <v>нет</v>
      </c>
      <c r="AS656" s="5" t="str">
        <f>""</f>
        <v/>
      </c>
      <c r="AT656" s="5" t="str">
        <f>""</f>
        <v/>
      </c>
      <c r="AU656" s="5" t="str">
        <f>""</f>
        <v/>
      </c>
      <c r="AV656" s="5" t="str">
        <f>"1968"</f>
        <v>1968</v>
      </c>
      <c r="AW656" s="5" t="str">
        <f>"30,00"</f>
        <v>30,00</v>
      </c>
      <c r="AX656" s="5" t="str">
        <f>"2026"</f>
        <v>2026</v>
      </c>
      <c r="AY656" s="5" t="str">
        <f>"нет"</f>
        <v>нет</v>
      </c>
      <c r="AZ656" s="5" t="str">
        <f>""</f>
        <v/>
      </c>
      <c r="BA656" s="5" t="str">
        <f>""</f>
        <v/>
      </c>
      <c r="BB656" s="5" t="str">
        <f>""</f>
        <v/>
      </c>
      <c r="BC656" s="5" t="str">
        <f>"нет"</f>
        <v>нет</v>
      </c>
      <c r="BD656" s="5" t="str">
        <f>""</f>
        <v/>
      </c>
      <c r="BE656" s="5" t="str">
        <f>""</f>
        <v/>
      </c>
      <c r="BF656" s="5" t="str">
        <f>""</f>
        <v/>
      </c>
      <c r="BG656" s="5" t="str">
        <f>"1968"</f>
        <v>1968</v>
      </c>
      <c r="BH656" s="5" t="str">
        <f>"30,00"</f>
        <v>30,00</v>
      </c>
      <c r="BI656" s="5" t="str">
        <f>"2025"</f>
        <v>2025</v>
      </c>
      <c r="BJ656" s="5" t="str">
        <f>"нет"</f>
        <v>нет</v>
      </c>
      <c r="BK656" s="5" t="str">
        <f>""</f>
        <v/>
      </c>
      <c r="BL656" s="5" t="str">
        <f>""</f>
        <v/>
      </c>
      <c r="BM656" s="5" t="str">
        <f>""</f>
        <v/>
      </c>
      <c r="BN656" s="5" t="str">
        <f>"нет"</f>
        <v>нет</v>
      </c>
      <c r="BO656" s="5" t="str">
        <f>""</f>
        <v/>
      </c>
      <c r="BP656" s="5" t="str">
        <f>""</f>
        <v/>
      </c>
      <c r="BQ656" s="5" t="str">
        <f>""</f>
        <v/>
      </c>
      <c r="BR656" s="5" t="str">
        <f>"1968"</f>
        <v>1968</v>
      </c>
      <c r="BS656" s="5" t="str">
        <f>"35,00"</f>
        <v>35,00</v>
      </c>
      <c r="BT656" s="5" t="str">
        <f>"2026"</f>
        <v>2026</v>
      </c>
      <c r="BU656" s="5" t="str">
        <f t="shared" si="834"/>
        <v>нет</v>
      </c>
      <c r="BV656" s="5" t="str">
        <f t="shared" si="859"/>
        <v>x</v>
      </c>
      <c r="BW656" s="5" t="str">
        <f t="shared" si="859"/>
        <v>x</v>
      </c>
      <c r="BX656" s="5" t="str">
        <f t="shared" si="859"/>
        <v>x</v>
      </c>
      <c r="BY656" s="5" t="str">
        <f t="shared" si="849"/>
        <v>нет</v>
      </c>
      <c r="BZ656" s="5" t="str">
        <f>"1968"</f>
        <v>1968</v>
      </c>
      <c r="CA656" s="5" t="str">
        <f>"30,00"</f>
        <v>30,00</v>
      </c>
      <c r="CB656" s="5" t="str">
        <f>"2026"</f>
        <v>2026</v>
      </c>
      <c r="CC656" s="5" t="str">
        <f>"1968"</f>
        <v>1968</v>
      </c>
      <c r="CD656" s="5" t="str">
        <f>"35,00"</f>
        <v>35,00</v>
      </c>
      <c r="CE656" s="5" t="str">
        <f>"2024"</f>
        <v>2024</v>
      </c>
      <c r="CF656" s="5" t="str">
        <f>"1968"</f>
        <v>1968</v>
      </c>
      <c r="CG656" s="5" t="str">
        <f>"30,00"</f>
        <v>30,00</v>
      </c>
      <c r="CH656" s="5" t="str">
        <f>"2024"</f>
        <v>2024</v>
      </c>
      <c r="CI656" s="5" t="str">
        <f>"30,00"</f>
        <v>30,00</v>
      </c>
      <c r="CJ656" s="5" t="str">
        <f>"2026"</f>
        <v>2026</v>
      </c>
    </row>
    <row r="657" spans="1:88" ht="11.25" customHeight="1">
      <c r="A657" s="3" t="str">
        <f>"1.644"</f>
        <v>1.644</v>
      </c>
      <c r="B657" s="4" t="str">
        <f>"ул. Ленина, д.37"</f>
        <v>ул. Ленина, д.37</v>
      </c>
      <c r="C657" s="7" t="str">
        <f>"1972"</f>
        <v>1972</v>
      </c>
      <c r="D657" s="5" t="str">
        <f>"2012"</f>
        <v>2012</v>
      </c>
      <c r="E657" s="5" t="str">
        <f>"5,00"</f>
        <v>5,00</v>
      </c>
      <c r="F657" s="5" t="str">
        <f>"2030"</f>
        <v>2030</v>
      </c>
      <c r="G657" s="5" t="str">
        <f>"да"</f>
        <v>да</v>
      </c>
      <c r="H657" s="5" t="str">
        <f>"2012"</f>
        <v>2012</v>
      </c>
      <c r="I657" s="5" t="str">
        <f>"5,00"</f>
        <v>5,00</v>
      </c>
      <c r="J657" s="5" t="str">
        <f>"2030"</f>
        <v>2030</v>
      </c>
      <c r="K657" s="5" t="str">
        <f>"да"</f>
        <v>да</v>
      </c>
      <c r="L657" s="5" t="str">
        <f>"2012"</f>
        <v>2012</v>
      </c>
      <c r="M657" s="5" t="str">
        <f>"5,00"</f>
        <v>5,00</v>
      </c>
      <c r="N657" s="5" t="str">
        <f>"2030"</f>
        <v>2030</v>
      </c>
      <c r="O657" s="8" t="str">
        <f>"1980"</f>
        <v>1980</v>
      </c>
      <c r="P657" s="5" t="str">
        <f>"30,00"</f>
        <v>30,00</v>
      </c>
      <c r="Q657" s="5" t="str">
        <f>"2030"</f>
        <v>2030</v>
      </c>
      <c r="R657" s="5" t="str">
        <f>"нет"</f>
        <v>нет</v>
      </c>
      <c r="S657" s="5" t="str">
        <f>""</f>
        <v/>
      </c>
      <c r="T657" s="5" t="str">
        <f>""</f>
        <v/>
      </c>
      <c r="U657" s="5" t="str">
        <f>""</f>
        <v/>
      </c>
      <c r="V657" s="5" t="str">
        <f>"нет"</f>
        <v>нет</v>
      </c>
      <c r="W657" s="5" t="str">
        <f>""</f>
        <v/>
      </c>
      <c r="X657" s="5" t="str">
        <f>""</f>
        <v/>
      </c>
      <c r="Y657" s="9" t="str">
        <f>""</f>
        <v/>
      </c>
      <c r="Z657" s="5" t="str">
        <f>"2012"</f>
        <v>2012</v>
      </c>
      <c r="AA657" s="5" t="str">
        <f>"5,00"</f>
        <v>5,00</v>
      </c>
      <c r="AB657" s="5" t="str">
        <f>"2030"</f>
        <v>2030</v>
      </c>
      <c r="AC657" s="5" t="str">
        <f>"нет"</f>
        <v>нет</v>
      </c>
      <c r="AD657" s="5" t="str">
        <f t="shared" si="878"/>
        <v>х</v>
      </c>
      <c r="AE657" s="5" t="str">
        <f t="shared" si="878"/>
        <v>х</v>
      </c>
      <c r="AF657" s="5" t="str">
        <f t="shared" si="878"/>
        <v>х</v>
      </c>
      <c r="AG657" s="5" t="str">
        <f>"нет"</f>
        <v>нет</v>
      </c>
      <c r="AH657" s="5" t="str">
        <f t="shared" si="879"/>
        <v>х</v>
      </c>
      <c r="AI657" s="5" t="str">
        <f t="shared" si="879"/>
        <v>х</v>
      </c>
      <c r="AJ657" s="5" t="str">
        <f t="shared" si="879"/>
        <v>х</v>
      </c>
      <c r="AK657" s="8" t="str">
        <f>"1980"</f>
        <v>1980</v>
      </c>
      <c r="AL657" s="5" t="str">
        <f>"35,00"</f>
        <v>35,00</v>
      </c>
      <c r="AM657" s="5" t="str">
        <f>"2030"</f>
        <v>2030</v>
      </c>
      <c r="AN657" s="5" t="str">
        <f>"нет"</f>
        <v>нет</v>
      </c>
      <c r="AO657" s="5" t="str">
        <f>""</f>
        <v/>
      </c>
      <c r="AP657" s="5" t="str">
        <f>""</f>
        <v/>
      </c>
      <c r="AQ657" s="5" t="str">
        <f>""</f>
        <v/>
      </c>
      <c r="AR657" s="5" t="str">
        <f t="shared" si="880"/>
        <v>нет</v>
      </c>
      <c r="AS657" s="5" t="str">
        <f>""</f>
        <v/>
      </c>
      <c r="AT657" s="5" t="str">
        <f>""</f>
        <v/>
      </c>
      <c r="AU657" s="5" t="str">
        <f>""</f>
        <v/>
      </c>
      <c r="AV657" s="5" t="str">
        <f>"1980"</f>
        <v>1980</v>
      </c>
      <c r="AW657" s="5" t="str">
        <f>"35,00"</f>
        <v>35,00</v>
      </c>
      <c r="AX657" s="5" t="str">
        <f>"2030"</f>
        <v>2030</v>
      </c>
      <c r="AY657" s="5" t="str">
        <f>"нет"</f>
        <v>нет</v>
      </c>
      <c r="AZ657" s="5" t="str">
        <f t="shared" ref="AZ657:BB660" si="881">"х"</f>
        <v>х</v>
      </c>
      <c r="BA657" s="5" t="str">
        <f t="shared" si="881"/>
        <v>х</v>
      </c>
      <c r="BB657" s="5" t="str">
        <f t="shared" si="881"/>
        <v>х</v>
      </c>
      <c r="BC657" s="5" t="str">
        <f>"нет"</f>
        <v>нет</v>
      </c>
      <c r="BD657" s="5" t="str">
        <f t="shared" ref="BD657:BF660" si="882">"х"</f>
        <v>х</v>
      </c>
      <c r="BE657" s="5" t="str">
        <f t="shared" si="882"/>
        <v>х</v>
      </c>
      <c r="BF657" s="5" t="str">
        <f t="shared" si="882"/>
        <v>х</v>
      </c>
      <c r="BG657" s="5" t="str">
        <f>"1980"</f>
        <v>1980</v>
      </c>
      <c r="BH657" s="5" t="str">
        <f>"35,00"</f>
        <v>35,00</v>
      </c>
      <c r="BI657" s="5" t="str">
        <f>"2030"</f>
        <v>2030</v>
      </c>
      <c r="BJ657" s="5" t="str">
        <f>"нет"</f>
        <v>нет</v>
      </c>
      <c r="BK657" s="5" t="str">
        <f>""</f>
        <v/>
      </c>
      <c r="BL657" s="5" t="str">
        <f>""</f>
        <v/>
      </c>
      <c r="BM657" s="5" t="str">
        <f>""</f>
        <v/>
      </c>
      <c r="BN657" s="5" t="str">
        <f>"нет"</f>
        <v>нет</v>
      </c>
      <c r="BO657" s="5" t="str">
        <f>""</f>
        <v/>
      </c>
      <c r="BP657" s="5" t="str">
        <f>""</f>
        <v/>
      </c>
      <c r="BQ657" s="5" t="str">
        <f>""</f>
        <v/>
      </c>
      <c r="BR657" s="5" t="str">
        <f>"2012"</f>
        <v>2012</v>
      </c>
      <c r="BS657" s="5" t="str">
        <f>"10,00"</f>
        <v>10,00</v>
      </c>
      <c r="BT657" s="5" t="str">
        <f>"2030"</f>
        <v>2030</v>
      </c>
      <c r="BU657" s="5" t="str">
        <f t="shared" si="834"/>
        <v>нет</v>
      </c>
      <c r="BV657" s="5" t="str">
        <f t="shared" si="859"/>
        <v>x</v>
      </c>
      <c r="BW657" s="5" t="str">
        <f t="shared" si="859"/>
        <v>x</v>
      </c>
      <c r="BX657" s="5" t="str">
        <f t="shared" si="859"/>
        <v>x</v>
      </c>
      <c r="BY657" s="5" t="str">
        <f t="shared" si="849"/>
        <v>нет</v>
      </c>
      <c r="BZ657" s="5" t="str">
        <f t="shared" ref="BZ657:CB658" si="883">"x"</f>
        <v>x</v>
      </c>
      <c r="CA657" s="5" t="str">
        <f t="shared" si="883"/>
        <v>x</v>
      </c>
      <c r="CB657" s="5" t="str">
        <f t="shared" si="883"/>
        <v>x</v>
      </c>
      <c r="CC657" s="5" t="str">
        <f>"1980"</f>
        <v>1980</v>
      </c>
      <c r="CD657" s="5" t="str">
        <f>"30,00"</f>
        <v>30,00</v>
      </c>
      <c r="CE657" s="5" t="str">
        <f>"2030"</f>
        <v>2030</v>
      </c>
      <c r="CF657" s="5" t="str">
        <f>"1980"</f>
        <v>1980</v>
      </c>
      <c r="CG657" s="5" t="str">
        <f>"30,00"</f>
        <v>30,00</v>
      </c>
      <c r="CH657" s="5" t="str">
        <f>"2030"</f>
        <v>2030</v>
      </c>
      <c r="CI657" s="5" t="str">
        <f>"35,00"</f>
        <v>35,00</v>
      </c>
      <c r="CJ657" s="5" t="str">
        <f>"2030"</f>
        <v>2030</v>
      </c>
    </row>
    <row r="658" spans="1:88" ht="11.25" customHeight="1">
      <c r="A658" s="3" t="str">
        <f>"1.645"</f>
        <v>1.645</v>
      </c>
      <c r="B658" s="4" t="str">
        <f>"х. Глубокое (Вохтожское МО), д.43"</f>
        <v>х. Глубокое (Вохтожское МО), д.43</v>
      </c>
      <c r="C658" s="7" t="str">
        <f>"1987"</f>
        <v>1987</v>
      </c>
      <c r="D658" s="5" t="str">
        <f>""</f>
        <v/>
      </c>
      <c r="E658" s="5" t="str">
        <f>"33,00"</f>
        <v>33,00</v>
      </c>
      <c r="F658" s="5" t="str">
        <f>"2026"</f>
        <v>2026</v>
      </c>
      <c r="G658" s="5" t="str">
        <f>"нет"</f>
        <v>нет</v>
      </c>
      <c r="H658" s="5" t="str">
        <f>""</f>
        <v/>
      </c>
      <c r="I658" s="5" t="str">
        <f>""</f>
        <v/>
      </c>
      <c r="J658" s="5" t="str">
        <f>""</f>
        <v/>
      </c>
      <c r="K658" s="5" t="str">
        <f>"нет"</f>
        <v>нет</v>
      </c>
      <c r="L658" s="5" t="str">
        <f>""</f>
        <v/>
      </c>
      <c r="M658" s="5" t="str">
        <f>""</f>
        <v/>
      </c>
      <c r="N658" s="5" t="str">
        <f>""</f>
        <v/>
      </c>
      <c r="O658" s="8" t="str">
        <f>""</f>
        <v/>
      </c>
      <c r="P658" s="5" t="str">
        <f>""</f>
        <v/>
      </c>
      <c r="Q658" s="5" t="str">
        <f>""</f>
        <v/>
      </c>
      <c r="R658" s="5" t="str">
        <f>""</f>
        <v/>
      </c>
      <c r="S658" s="5" t="str">
        <f>""</f>
        <v/>
      </c>
      <c r="T658" s="5" t="str">
        <f>""</f>
        <v/>
      </c>
      <c r="U658" s="5" t="str">
        <f>""</f>
        <v/>
      </c>
      <c r="V658" s="5" t="str">
        <f>""</f>
        <v/>
      </c>
      <c r="W658" s="5" t="str">
        <f>""</f>
        <v/>
      </c>
      <c r="X658" s="5" t="str">
        <f>""</f>
        <v/>
      </c>
      <c r="Y658" s="9" t="str">
        <f>""</f>
        <v/>
      </c>
      <c r="Z658" s="5" t="str">
        <f>""</f>
        <v/>
      </c>
      <c r="AA658" s="5" t="str">
        <f>""</f>
        <v/>
      </c>
      <c r="AB658" s="5" t="str">
        <f>""</f>
        <v/>
      </c>
      <c r="AC658" s="5" t="str">
        <f>""</f>
        <v/>
      </c>
      <c r="AD658" s="5" t="str">
        <f>""</f>
        <v/>
      </c>
      <c r="AE658" s="5" t="str">
        <f>""</f>
        <v/>
      </c>
      <c r="AF658" s="5" t="str">
        <f>""</f>
        <v/>
      </c>
      <c r="AG658" s="5" t="str">
        <f>""</f>
        <v/>
      </c>
      <c r="AH658" s="5" t="str">
        <f>""</f>
        <v/>
      </c>
      <c r="AI658" s="5" t="str">
        <f>""</f>
        <v/>
      </c>
      <c r="AJ658" s="5" t="str">
        <f>""</f>
        <v/>
      </c>
      <c r="AK658" s="8" t="str">
        <f>""</f>
        <v/>
      </c>
      <c r="AL658" s="5" t="str">
        <f>"33,00"</f>
        <v>33,00</v>
      </c>
      <c r="AM658" s="5" t="str">
        <f>"2026"</f>
        <v>2026</v>
      </c>
      <c r="AN658" s="5" t="str">
        <f>"нет"</f>
        <v>нет</v>
      </c>
      <c r="AO658" s="5" t="str">
        <f>""</f>
        <v/>
      </c>
      <c r="AP658" s="5" t="str">
        <f>""</f>
        <v/>
      </c>
      <c r="AQ658" s="5" t="str">
        <f>""</f>
        <v/>
      </c>
      <c r="AR658" s="5" t="str">
        <f t="shared" si="880"/>
        <v>нет</v>
      </c>
      <c r="AS658" s="5" t="str">
        <f>""</f>
        <v/>
      </c>
      <c r="AT658" s="5" t="str">
        <f>""</f>
        <v/>
      </c>
      <c r="AU658" s="5" t="str">
        <f>""</f>
        <v/>
      </c>
      <c r="AV658" s="5" t="str">
        <f t="shared" ref="AV658:AY660" si="884">"х"</f>
        <v>х</v>
      </c>
      <c r="AW658" s="5" t="str">
        <f t="shared" si="884"/>
        <v>х</v>
      </c>
      <c r="AX658" s="5" t="str">
        <f t="shared" si="884"/>
        <v>х</v>
      </c>
      <c r="AY658" s="5" t="str">
        <f t="shared" si="884"/>
        <v>х</v>
      </c>
      <c r="AZ658" s="5" t="str">
        <f t="shared" si="881"/>
        <v>х</v>
      </c>
      <c r="BA658" s="5" t="str">
        <f t="shared" si="881"/>
        <v>х</v>
      </c>
      <c r="BB658" s="5" t="str">
        <f t="shared" si="881"/>
        <v>х</v>
      </c>
      <c r="BC658" s="5" t="str">
        <f>"х"</f>
        <v>х</v>
      </c>
      <c r="BD658" s="5" t="str">
        <f t="shared" si="882"/>
        <v>х</v>
      </c>
      <c r="BE658" s="5" t="str">
        <f t="shared" si="882"/>
        <v>х</v>
      </c>
      <c r="BF658" s="5" t="str">
        <f t="shared" si="882"/>
        <v>х</v>
      </c>
      <c r="BG658" s="5" t="str">
        <f>""</f>
        <v/>
      </c>
      <c r="BH658" s="5" t="str">
        <f>""</f>
        <v/>
      </c>
      <c r="BI658" s="5" t="str">
        <f>""</f>
        <v/>
      </c>
      <c r="BJ658" s="5" t="str">
        <f>""</f>
        <v/>
      </c>
      <c r="BK658" s="5" t="str">
        <f>""</f>
        <v/>
      </c>
      <c r="BL658" s="5" t="str">
        <f>""</f>
        <v/>
      </c>
      <c r="BM658" s="5" t="str">
        <f>""</f>
        <v/>
      </c>
      <c r="BN658" s="5" t="str">
        <f>""</f>
        <v/>
      </c>
      <c r="BO658" s="5" t="str">
        <f>""</f>
        <v/>
      </c>
      <c r="BP658" s="5" t="str">
        <f>""</f>
        <v/>
      </c>
      <c r="BQ658" s="5" t="str">
        <f>""</f>
        <v/>
      </c>
      <c r="BR658" s="5" t="str">
        <f>""</f>
        <v/>
      </c>
      <c r="BS658" s="5" t="str">
        <f>"33,00"</f>
        <v>33,00</v>
      </c>
      <c r="BT658" s="5" t="str">
        <f>"2018"</f>
        <v>2018</v>
      </c>
      <c r="BU658" s="5" t="str">
        <f t="shared" si="834"/>
        <v>нет</v>
      </c>
      <c r="BV658" s="5" t="str">
        <f t="shared" si="859"/>
        <v>x</v>
      </c>
      <c r="BW658" s="5" t="str">
        <f t="shared" si="859"/>
        <v>x</v>
      </c>
      <c r="BX658" s="5" t="str">
        <f t="shared" si="859"/>
        <v>x</v>
      </c>
      <c r="BY658" s="5" t="str">
        <f t="shared" si="849"/>
        <v>нет</v>
      </c>
      <c r="BZ658" s="5" t="str">
        <f t="shared" si="883"/>
        <v>x</v>
      </c>
      <c r="CA658" s="5" t="str">
        <f t="shared" si="883"/>
        <v>x</v>
      </c>
      <c r="CB658" s="5" t="str">
        <f t="shared" si="883"/>
        <v>x</v>
      </c>
      <c r="CC658" s="5" t="str">
        <f>""</f>
        <v/>
      </c>
      <c r="CD658" s="5" t="str">
        <f>"33,00"</f>
        <v>33,00</v>
      </c>
      <c r="CE658" s="5" t="str">
        <f>"2026"</f>
        <v>2026</v>
      </c>
      <c r="CF658" s="5" t="str">
        <f>""</f>
        <v/>
      </c>
      <c r="CG658" s="5" t="str">
        <f>"33,00"</f>
        <v>33,00</v>
      </c>
      <c r="CH658" s="5" t="str">
        <f>"2026"</f>
        <v>2026</v>
      </c>
      <c r="CI658" s="5" t="str">
        <f>"33,00"</f>
        <v>33,00</v>
      </c>
      <c r="CJ658" s="5" t="str">
        <f>"2026"</f>
        <v>2026</v>
      </c>
    </row>
    <row r="659" spans="1:88" ht="11.25" customHeight="1">
      <c r="A659" s="3" t="str">
        <f>"1.646"</f>
        <v>1.646</v>
      </c>
      <c r="B659" s="4" t="str">
        <f>"х. Глубокое (Вохтожское МО), д.45"</f>
        <v>х. Глубокое (Вохтожское МО), д.45</v>
      </c>
      <c r="C659" s="7" t="str">
        <f>"1988"</f>
        <v>1988</v>
      </c>
      <c r="D659" s="5" t="str">
        <f>""</f>
        <v/>
      </c>
      <c r="E659" s="5" t="str">
        <f>"5,00"</f>
        <v>5,00</v>
      </c>
      <c r="F659" s="5" t="str">
        <f>"2023"</f>
        <v>2023</v>
      </c>
      <c r="G659" s="5" t="str">
        <f>"да"</f>
        <v>да</v>
      </c>
      <c r="H659" s="5" t="str">
        <f>"2013"</f>
        <v>2013</v>
      </c>
      <c r="I659" s="5" t="str">
        <f>"5,00"</f>
        <v>5,00</v>
      </c>
      <c r="J659" s="5" t="str">
        <f>"2023"</f>
        <v>2023</v>
      </c>
      <c r="K659" s="5" t="str">
        <f>"да"</f>
        <v>да</v>
      </c>
      <c r="L659" s="5" t="str">
        <f>""</f>
        <v/>
      </c>
      <c r="M659" s="5" t="str">
        <f>"5,00"</f>
        <v>5,00</v>
      </c>
      <c r="N659" s="5" t="str">
        <f>"2023"</f>
        <v>2023</v>
      </c>
      <c r="O659" s="8" t="str">
        <f>""</f>
        <v/>
      </c>
      <c r="P659" s="5" t="str">
        <f>"5,00"</f>
        <v>5,00</v>
      </c>
      <c r="Q659" s="5" t="str">
        <f>"2030"</f>
        <v>2030</v>
      </c>
      <c r="R659" s="5" t="str">
        <f>"нет"</f>
        <v>нет</v>
      </c>
      <c r="S659" s="5" t="str">
        <f>""</f>
        <v/>
      </c>
      <c r="T659" s="5" t="str">
        <f>""</f>
        <v/>
      </c>
      <c r="U659" s="5" t="str">
        <f>""</f>
        <v/>
      </c>
      <c r="V659" s="5" t="str">
        <f>"нет"</f>
        <v>нет</v>
      </c>
      <c r="W659" s="5" t="str">
        <f>""</f>
        <v/>
      </c>
      <c r="X659" s="5" t="str">
        <f>""</f>
        <v/>
      </c>
      <c r="Y659" s="9" t="str">
        <f>""</f>
        <v/>
      </c>
      <c r="Z659" s="5" t="str">
        <f>""</f>
        <v/>
      </c>
      <c r="AA659" s="5" t="str">
        <f>""</f>
        <v/>
      </c>
      <c r="AB659" s="5" t="str">
        <f>""</f>
        <v/>
      </c>
      <c r="AC659" s="5" t="str">
        <f>""</f>
        <v/>
      </c>
      <c r="AD659" s="5" t="str">
        <f>""</f>
        <v/>
      </c>
      <c r="AE659" s="5" t="str">
        <f>""</f>
        <v/>
      </c>
      <c r="AF659" s="5" t="str">
        <f>""</f>
        <v/>
      </c>
      <c r="AG659" s="5" t="str">
        <f>""</f>
        <v/>
      </c>
      <c r="AH659" s="5" t="str">
        <f>""</f>
        <v/>
      </c>
      <c r="AI659" s="5" t="str">
        <f>""</f>
        <v/>
      </c>
      <c r="AJ659" s="5" t="str">
        <f>""</f>
        <v/>
      </c>
      <c r="AK659" s="8" t="str">
        <f>""</f>
        <v/>
      </c>
      <c r="AL659" s="5" t="str">
        <f>"5,00"</f>
        <v>5,00</v>
      </c>
      <c r="AM659" s="5" t="str">
        <f>"2032"</f>
        <v>2032</v>
      </c>
      <c r="AN659" s="5" t="str">
        <f>"да"</f>
        <v>да</v>
      </c>
      <c r="AO659" s="5" t="str">
        <f>"2010"</f>
        <v>2010</v>
      </c>
      <c r="AP659" s="5" t="str">
        <f>"5,00"</f>
        <v>5,00</v>
      </c>
      <c r="AQ659" s="5" t="str">
        <f>"2020"</f>
        <v>2020</v>
      </c>
      <c r="AR659" s="5" t="str">
        <f t="shared" si="880"/>
        <v>нет</v>
      </c>
      <c r="AS659" s="5" t="str">
        <f>""</f>
        <v/>
      </c>
      <c r="AT659" s="5" t="str">
        <f>""</f>
        <v/>
      </c>
      <c r="AU659" s="5" t="str">
        <f>""</f>
        <v/>
      </c>
      <c r="AV659" s="5" t="str">
        <f t="shared" si="884"/>
        <v>х</v>
      </c>
      <c r="AW659" s="5" t="str">
        <f t="shared" si="884"/>
        <v>х</v>
      </c>
      <c r="AX659" s="5" t="str">
        <f t="shared" si="884"/>
        <v>х</v>
      </c>
      <c r="AY659" s="5" t="str">
        <f t="shared" si="884"/>
        <v>х</v>
      </c>
      <c r="AZ659" s="5" t="str">
        <f t="shared" si="881"/>
        <v>х</v>
      </c>
      <c r="BA659" s="5" t="str">
        <f t="shared" si="881"/>
        <v>х</v>
      </c>
      <c r="BB659" s="5" t="str">
        <f t="shared" si="881"/>
        <v>х</v>
      </c>
      <c r="BC659" s="5" t="str">
        <f>"х"</f>
        <v>х</v>
      </c>
      <c r="BD659" s="5" t="str">
        <f t="shared" si="882"/>
        <v>х</v>
      </c>
      <c r="BE659" s="5" t="str">
        <f t="shared" si="882"/>
        <v>х</v>
      </c>
      <c r="BF659" s="5" t="str">
        <f t="shared" si="882"/>
        <v>х</v>
      </c>
      <c r="BG659" s="5" t="str">
        <f>""</f>
        <v/>
      </c>
      <c r="BH659" s="5" t="str">
        <f>"5,00"</f>
        <v>5,00</v>
      </c>
      <c r="BI659" s="5" t="str">
        <f>"2039"</f>
        <v>2039</v>
      </c>
      <c r="BJ659" s="5" t="str">
        <f>"нет"</f>
        <v>нет</v>
      </c>
      <c r="BK659" s="5" t="str">
        <f>""</f>
        <v/>
      </c>
      <c r="BL659" s="5" t="str">
        <f>""</f>
        <v/>
      </c>
      <c r="BM659" s="5" t="str">
        <f>""</f>
        <v/>
      </c>
      <c r="BN659" s="5" t="str">
        <f>"нет"</f>
        <v>нет</v>
      </c>
      <c r="BO659" s="5" t="str">
        <f>""</f>
        <v/>
      </c>
      <c r="BP659" s="5" t="str">
        <f>""</f>
        <v/>
      </c>
      <c r="BQ659" s="5" t="str">
        <f>""</f>
        <v/>
      </c>
      <c r="BR659" s="5" t="str">
        <f>""</f>
        <v/>
      </c>
      <c r="BS659" s="5" t="str">
        <f>"5,00"</f>
        <v>5,00</v>
      </c>
      <c r="BT659" s="5" t="str">
        <f>"2032"</f>
        <v>2032</v>
      </c>
      <c r="BU659" s="5" t="str">
        <f t="shared" si="834"/>
        <v>нет</v>
      </c>
      <c r="BV659" s="5" t="str">
        <f t="shared" si="859"/>
        <v>x</v>
      </c>
      <c r="BW659" s="5" t="str">
        <f t="shared" si="859"/>
        <v>x</v>
      </c>
      <c r="BX659" s="5" t="str">
        <f t="shared" si="859"/>
        <v>x</v>
      </c>
      <c r="BY659" s="5" t="str">
        <f>"да"</f>
        <v>да</v>
      </c>
      <c r="BZ659" s="5" t="str">
        <f>""</f>
        <v/>
      </c>
      <c r="CA659" s="5" t="str">
        <f>"5,00"</f>
        <v>5,00</v>
      </c>
      <c r="CB659" s="5" t="str">
        <f>"2036"</f>
        <v>2036</v>
      </c>
      <c r="CC659" s="5" t="str">
        <f>""</f>
        <v/>
      </c>
      <c r="CD659" s="5" t="str">
        <f>"5,00"</f>
        <v>5,00</v>
      </c>
      <c r="CE659" s="5" t="str">
        <f>"2036"</f>
        <v>2036</v>
      </c>
      <c r="CF659" s="5" t="str">
        <f>""</f>
        <v/>
      </c>
      <c r="CG659" s="5" t="str">
        <f>"5,00"</f>
        <v>5,00</v>
      </c>
      <c r="CH659" s="5" t="str">
        <f>"2036"</f>
        <v>2036</v>
      </c>
      <c r="CI659" s="5" t="str">
        <f>"5,00"</f>
        <v>5,00</v>
      </c>
      <c r="CJ659" s="5" t="str">
        <f>"2036"</f>
        <v>2036</v>
      </c>
    </row>
    <row r="660" spans="1:88" ht="11.25" customHeight="1">
      <c r="A660" s="3" t="str">
        <f>"1.647"</f>
        <v>1.647</v>
      </c>
      <c r="B660" s="4" t="str">
        <f>"х. Глубокое (Вохтожское МО), д.46"</f>
        <v>х. Глубокое (Вохтожское МО), д.46</v>
      </c>
      <c r="C660" s="7" t="str">
        <f>"1989"</f>
        <v>1989</v>
      </c>
      <c r="D660" s="5" t="str">
        <f>""</f>
        <v/>
      </c>
      <c r="E660" s="5" t="str">
        <f>"5,00"</f>
        <v>5,00</v>
      </c>
      <c r="F660" s="5" t="str">
        <f>"2020"</f>
        <v>2020</v>
      </c>
      <c r="G660" s="5" t="str">
        <f>"да"</f>
        <v>да</v>
      </c>
      <c r="H660" s="5" t="str">
        <f>"2010"</f>
        <v>2010</v>
      </c>
      <c r="I660" s="5" t="str">
        <f>"5,00"</f>
        <v>5,00</v>
      </c>
      <c r="J660" s="5" t="str">
        <f>"2020"</f>
        <v>2020</v>
      </c>
      <c r="K660" s="5" t="str">
        <f>"да"</f>
        <v>да</v>
      </c>
      <c r="L660" s="5" t="str">
        <f>""</f>
        <v/>
      </c>
      <c r="M660" s="5" t="str">
        <f>"5,00"</f>
        <v>5,00</v>
      </c>
      <c r="N660" s="5" t="str">
        <f>"2020"</f>
        <v>2020</v>
      </c>
      <c r="O660" s="8" t="str">
        <f>""</f>
        <v/>
      </c>
      <c r="P660" s="5" t="str">
        <f>"5,00"</f>
        <v>5,00</v>
      </c>
      <c r="Q660" s="5" t="str">
        <f>"2030"</f>
        <v>2030</v>
      </c>
      <c r="R660" s="5" t="str">
        <f>"нет"</f>
        <v>нет</v>
      </c>
      <c r="S660" s="5" t="str">
        <f>""</f>
        <v/>
      </c>
      <c r="T660" s="5" t="str">
        <f>""</f>
        <v/>
      </c>
      <c r="U660" s="5" t="str">
        <f>""</f>
        <v/>
      </c>
      <c r="V660" s="5" t="str">
        <f>"нет"</f>
        <v>нет</v>
      </c>
      <c r="W660" s="5" t="str">
        <f>""</f>
        <v/>
      </c>
      <c r="X660" s="5" t="str">
        <f>""</f>
        <v/>
      </c>
      <c r="Y660" s="9" t="str">
        <f>""</f>
        <v/>
      </c>
      <c r="Z660" s="5" t="str">
        <f>""</f>
        <v/>
      </c>
      <c r="AA660" s="5" t="str">
        <f>""</f>
        <v/>
      </c>
      <c r="AB660" s="5" t="str">
        <f>""</f>
        <v/>
      </c>
      <c r="AC660" s="5" t="str">
        <f>""</f>
        <v/>
      </c>
      <c r="AD660" s="5" t="str">
        <f>""</f>
        <v/>
      </c>
      <c r="AE660" s="5" t="str">
        <f>""</f>
        <v/>
      </c>
      <c r="AF660" s="5" t="str">
        <f>""</f>
        <v/>
      </c>
      <c r="AG660" s="5" t="str">
        <f>""</f>
        <v/>
      </c>
      <c r="AH660" s="5" t="str">
        <f>""</f>
        <v/>
      </c>
      <c r="AI660" s="5" t="str">
        <f>""</f>
        <v/>
      </c>
      <c r="AJ660" s="5" t="str">
        <f>""</f>
        <v/>
      </c>
      <c r="AK660" s="8" t="str">
        <f>""</f>
        <v/>
      </c>
      <c r="AL660" s="5" t="str">
        <f>"5,00"</f>
        <v>5,00</v>
      </c>
      <c r="AM660" s="5" t="str">
        <f>"2030"</f>
        <v>2030</v>
      </c>
      <c r="AN660" s="5" t="str">
        <f>"да"</f>
        <v>да</v>
      </c>
      <c r="AO660" s="5" t="str">
        <f>"2011"</f>
        <v>2011</v>
      </c>
      <c r="AP660" s="5" t="str">
        <f>"5,00"</f>
        <v>5,00</v>
      </c>
      <c r="AQ660" s="5" t="str">
        <f>"2020"</f>
        <v>2020</v>
      </c>
      <c r="AR660" s="5" t="str">
        <f t="shared" si="880"/>
        <v>нет</v>
      </c>
      <c r="AS660" s="5" t="str">
        <f>""</f>
        <v/>
      </c>
      <c r="AT660" s="5" t="str">
        <f>""</f>
        <v/>
      </c>
      <c r="AU660" s="5" t="str">
        <f>""</f>
        <v/>
      </c>
      <c r="AV660" s="5" t="str">
        <f t="shared" si="884"/>
        <v>х</v>
      </c>
      <c r="AW660" s="5" t="str">
        <f t="shared" si="884"/>
        <v>х</v>
      </c>
      <c r="AX660" s="5" t="str">
        <f t="shared" si="884"/>
        <v>х</v>
      </c>
      <c r="AY660" s="5" t="str">
        <f t="shared" si="884"/>
        <v>х</v>
      </c>
      <c r="AZ660" s="5" t="str">
        <f t="shared" si="881"/>
        <v>х</v>
      </c>
      <c r="BA660" s="5" t="str">
        <f t="shared" si="881"/>
        <v>х</v>
      </c>
      <c r="BB660" s="5" t="str">
        <f t="shared" si="881"/>
        <v>х</v>
      </c>
      <c r="BC660" s="5" t="str">
        <f>"х"</f>
        <v>х</v>
      </c>
      <c r="BD660" s="5" t="str">
        <f t="shared" si="882"/>
        <v>х</v>
      </c>
      <c r="BE660" s="5" t="str">
        <f t="shared" si="882"/>
        <v>х</v>
      </c>
      <c r="BF660" s="5" t="str">
        <f t="shared" si="882"/>
        <v>х</v>
      </c>
      <c r="BG660" s="5" t="str">
        <f>""</f>
        <v/>
      </c>
      <c r="BH660" s="5" t="str">
        <f>"5,00"</f>
        <v>5,00</v>
      </c>
      <c r="BI660" s="5" t="str">
        <f>"2038"</f>
        <v>2038</v>
      </c>
      <c r="BJ660" s="5" t="str">
        <f>"нет"</f>
        <v>нет</v>
      </c>
      <c r="BK660" s="5" t="str">
        <f>""</f>
        <v/>
      </c>
      <c r="BL660" s="5" t="str">
        <f>""</f>
        <v/>
      </c>
      <c r="BM660" s="5" t="str">
        <f>""</f>
        <v/>
      </c>
      <c r="BN660" s="5" t="str">
        <f>"нет"</f>
        <v>нет</v>
      </c>
      <c r="BO660" s="5" t="str">
        <f>""</f>
        <v/>
      </c>
      <c r="BP660" s="5" t="str">
        <f>""</f>
        <v/>
      </c>
      <c r="BQ660" s="5" t="str">
        <f>""</f>
        <v/>
      </c>
      <c r="BR660" s="5" t="str">
        <f>""</f>
        <v/>
      </c>
      <c r="BS660" s="5" t="str">
        <f>"5,00"</f>
        <v>5,00</v>
      </c>
      <c r="BT660" s="5" t="str">
        <f>"2031"</f>
        <v>2031</v>
      </c>
      <c r="BU660" s="5" t="str">
        <f t="shared" si="834"/>
        <v>нет</v>
      </c>
      <c r="BV660" s="5" t="str">
        <f t="shared" si="859"/>
        <v>x</v>
      </c>
      <c r="BW660" s="5" t="str">
        <f t="shared" si="859"/>
        <v>x</v>
      </c>
      <c r="BX660" s="5" t="str">
        <f t="shared" si="859"/>
        <v>x</v>
      </c>
      <c r="BY660" s="5" t="str">
        <f>"да"</f>
        <v>да</v>
      </c>
      <c r="BZ660" s="5" t="str">
        <f>""</f>
        <v/>
      </c>
      <c r="CA660" s="5" t="str">
        <f>"5,00"</f>
        <v>5,00</v>
      </c>
      <c r="CB660" s="5" t="str">
        <f>"2036"</f>
        <v>2036</v>
      </c>
      <c r="CC660" s="5" t="str">
        <f>""</f>
        <v/>
      </c>
      <c r="CD660" s="5" t="str">
        <f>"5,00"</f>
        <v>5,00</v>
      </c>
      <c r="CE660" s="5" t="str">
        <f>"2036"</f>
        <v>2036</v>
      </c>
      <c r="CF660" s="5" t="str">
        <f>""</f>
        <v/>
      </c>
      <c r="CG660" s="5" t="str">
        <f>"5,00"</f>
        <v>5,00</v>
      </c>
      <c r="CH660" s="5" t="str">
        <f>"2036"</f>
        <v>2036</v>
      </c>
      <c r="CI660" s="5" t="str">
        <f>"5,00"</f>
        <v>5,00</v>
      </c>
      <c r="CJ660" s="5" t="str">
        <f>"2036"</f>
        <v>2036</v>
      </c>
    </row>
    <row r="661" spans="1:88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</row>
    <row r="662" spans="1:88" ht="11.25" customHeight="1">
      <c r="A662" s="16" t="s">
        <v>34</v>
      </c>
      <c r="B662" s="1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</row>
  </sheetData>
  <mergeCells count="71">
    <mergeCell ref="CE5:CE6"/>
    <mergeCell ref="CF5:CF6"/>
    <mergeCell ref="CG5:CG6"/>
    <mergeCell ref="CH5:CH6"/>
    <mergeCell ref="BZ5:BZ6"/>
    <mergeCell ref="CA5:CA6"/>
    <mergeCell ref="CB5:CB6"/>
    <mergeCell ref="CC5:CC6"/>
    <mergeCell ref="CD5:CD6"/>
    <mergeCell ref="BU5:BU6"/>
    <mergeCell ref="BV5:BV6"/>
    <mergeCell ref="BW5:BW6"/>
    <mergeCell ref="BX5:BX6"/>
    <mergeCell ref="BY5:BY6"/>
    <mergeCell ref="BJ5:BM5"/>
    <mergeCell ref="BN5:BQ5"/>
    <mergeCell ref="BR5:BR6"/>
    <mergeCell ref="BS5:BS6"/>
    <mergeCell ref="BT5:BT6"/>
    <mergeCell ref="AY5:BB5"/>
    <mergeCell ref="BC5:BF5"/>
    <mergeCell ref="BG5:BG6"/>
    <mergeCell ref="BH5:BH6"/>
    <mergeCell ref="BI5:BI6"/>
    <mergeCell ref="AN5:AQ5"/>
    <mergeCell ref="AR5:AU5"/>
    <mergeCell ref="AV5:AV6"/>
    <mergeCell ref="AW5:AW6"/>
    <mergeCell ref="AX5:AX6"/>
    <mergeCell ref="AC5:AF5"/>
    <mergeCell ref="AG5:AJ5"/>
    <mergeCell ref="AK5:AK6"/>
    <mergeCell ref="AL5:AL6"/>
    <mergeCell ref="AM5:AM6"/>
    <mergeCell ref="AK4:AU4"/>
    <mergeCell ref="AV4:BF4"/>
    <mergeCell ref="BG4:BQ4"/>
    <mergeCell ref="D5:D6"/>
    <mergeCell ref="E5:E6"/>
    <mergeCell ref="F5:F6"/>
    <mergeCell ref="G5:J5"/>
    <mergeCell ref="K5:N5"/>
    <mergeCell ref="O5:O6"/>
    <mergeCell ref="P5:P6"/>
    <mergeCell ref="Q5:Q6"/>
    <mergeCell ref="R5:U5"/>
    <mergeCell ref="V5:Y5"/>
    <mergeCell ref="Z5:Z6"/>
    <mergeCell ref="AA5:AA6"/>
    <mergeCell ref="AB5:AB6"/>
    <mergeCell ref="A13:CJ13"/>
    <mergeCell ref="A2:A6"/>
    <mergeCell ref="B2:B6"/>
    <mergeCell ref="C2:C6"/>
    <mergeCell ref="D2:CH2"/>
    <mergeCell ref="CI2:CI6"/>
    <mergeCell ref="CJ2:CJ6"/>
    <mergeCell ref="D3:BQ3"/>
    <mergeCell ref="BR3:BT4"/>
    <mergeCell ref="BU3:BX4"/>
    <mergeCell ref="BY3:CB4"/>
    <mergeCell ref="CC3:CE4"/>
    <mergeCell ref="CF3:CH4"/>
    <mergeCell ref="D4:N4"/>
    <mergeCell ref="O4:Y4"/>
    <mergeCell ref="Z4:AJ4"/>
    <mergeCell ref="A8:CJ8"/>
    <mergeCell ref="A9:CJ9"/>
    <mergeCell ref="A10:CJ10"/>
    <mergeCell ref="A11:CJ11"/>
    <mergeCell ref="A12:CJ12"/>
  </mergeCells>
  <pageMargins left="0.19685039370078741" right="0.19685039370078741" top="0.19685039370078741" bottom="0.19685039370078741" header="0.51181102362204722" footer="0.51181102362204722"/>
  <pageSetup paperSize="9" scale="3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/>
  </sheetViews>
  <sheetFormatPr defaultColWidth="9.140625" defaultRowHeight="12.75" customHeight="1"/>
  <cols>
    <col min="1" max="1" width="9.140625" customWidth="1"/>
    <col min="2" max="2" width="35.85546875" customWidth="1"/>
    <col min="3" max="6" width="15.42578125" customWidth="1"/>
    <col min="7" max="7" width="12.7109375" customWidth="1"/>
  </cols>
  <sheetData>
    <row r="1" spans="1:7" ht="15">
      <c r="A1" s="10"/>
      <c r="B1" s="10"/>
      <c r="C1" s="10"/>
      <c r="D1" s="10"/>
      <c r="E1" s="10"/>
      <c r="F1" s="10"/>
      <c r="G1" s="10"/>
    </row>
    <row r="2" spans="1:7" ht="15" customHeight="1">
      <c r="A2" s="44" t="s">
        <v>0</v>
      </c>
      <c r="B2" s="44" t="s">
        <v>30</v>
      </c>
      <c r="C2" s="44" t="s">
        <v>31</v>
      </c>
      <c r="D2" s="44" t="s">
        <v>26</v>
      </c>
      <c r="E2" s="44"/>
      <c r="F2" s="44"/>
      <c r="G2" s="44" t="s">
        <v>32</v>
      </c>
    </row>
    <row r="3" spans="1:7" ht="15">
      <c r="A3" s="44"/>
      <c r="B3" s="44"/>
      <c r="C3" s="44"/>
      <c r="D3" s="11" t="s">
        <v>27</v>
      </c>
      <c r="E3" s="11" t="s">
        <v>28</v>
      </c>
      <c r="F3" s="11" t="s">
        <v>29</v>
      </c>
      <c r="G3" s="44"/>
    </row>
    <row r="4" spans="1:7" ht="15" customHeight="1">
      <c r="A4" s="5" t="str">
        <f>"1"</f>
        <v>1</v>
      </c>
      <c r="B4" s="4" t="s">
        <v>39</v>
      </c>
      <c r="C4" s="12">
        <v>647</v>
      </c>
      <c r="D4" s="12">
        <v>647</v>
      </c>
      <c r="E4" s="12">
        <v>0</v>
      </c>
      <c r="F4" s="12">
        <v>0</v>
      </c>
      <c r="G4" s="13">
        <v>100</v>
      </c>
    </row>
    <row r="5" spans="1:7" ht="18" customHeight="1">
      <c r="A5" s="45" t="s">
        <v>33</v>
      </c>
      <c r="B5" s="46"/>
      <c r="C5" s="14">
        <v>647</v>
      </c>
      <c r="D5" s="14">
        <v>647</v>
      </c>
      <c r="E5" s="14">
        <v>0</v>
      </c>
      <c r="F5" s="14">
        <v>0</v>
      </c>
      <c r="G5" s="15">
        <v>100</v>
      </c>
    </row>
  </sheetData>
  <mergeCells count="6">
    <mergeCell ref="A5:B5"/>
    <mergeCell ref="A2:A3"/>
    <mergeCell ref="B2:B3"/>
    <mergeCell ref="C2:C3"/>
    <mergeCell ref="D2:F2"/>
    <mergeCell ref="G2:G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Изварин Антон</dc:creator>
  <cp:lastModifiedBy>seg03</cp:lastModifiedBy>
  <cp:lastPrinted>2013-10-28T10:00:16Z</cp:lastPrinted>
  <dcterms:created xsi:type="dcterms:W3CDTF">2013-10-22T13:48:50Z</dcterms:created>
  <dcterms:modified xsi:type="dcterms:W3CDTF">2014-04-17T09:12:30Z</dcterms:modified>
</cp:coreProperties>
</file>